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5576" windowHeight="11700"/>
  </bookViews>
  <sheets>
    <sheet name="городское поселение" sheetId="1" r:id="rId1"/>
    <sheet name="муниципальный район" sheetId="2" r:id="rId2"/>
  </sheets>
  <calcPr calcId="144525" refMode="R1C1"/>
</workbook>
</file>

<file path=xl/calcChain.xml><?xml version="1.0" encoding="utf-8"?>
<calcChain xmlns="http://schemas.openxmlformats.org/spreadsheetml/2006/main">
  <c r="L102" i="2" l="1"/>
  <c r="L99" i="2"/>
  <c r="L105" i="2"/>
  <c r="L112" i="2"/>
  <c r="D50" i="1" l="1"/>
  <c r="E50" i="1"/>
  <c r="D38" i="1"/>
  <c r="I3" i="2"/>
  <c r="K57" i="1"/>
  <c r="J57" i="1"/>
  <c r="I57" i="1"/>
  <c r="L17" i="1"/>
  <c r="L13" i="1"/>
  <c r="L9" i="1"/>
  <c r="L7" i="1"/>
  <c r="L3" i="1"/>
  <c r="K3" i="1" s="1"/>
  <c r="J3" i="1"/>
  <c r="I3" i="1"/>
  <c r="I59" i="2" l="1"/>
  <c r="J102" i="2"/>
  <c r="I102" i="2"/>
  <c r="J112" i="2"/>
  <c r="F47" i="1"/>
  <c r="F50" i="1"/>
  <c r="F159" i="2"/>
  <c r="F165" i="2"/>
  <c r="J165" i="2" s="1"/>
  <c r="I165" i="2"/>
  <c r="G159" i="2"/>
  <c r="I159" i="2" s="1"/>
  <c r="J159" i="2"/>
  <c r="I189" i="2"/>
  <c r="J189" i="2"/>
  <c r="H190" i="2"/>
  <c r="L103" i="1"/>
  <c r="L105" i="1"/>
  <c r="F78" i="1"/>
  <c r="Q26" i="2" l="1"/>
  <c r="R26" i="2"/>
  <c r="S26" i="2"/>
  <c r="T26" i="2"/>
  <c r="U26" i="2"/>
  <c r="V26" i="2"/>
  <c r="W26" i="2"/>
  <c r="O25" i="2"/>
  <c r="P25" i="2"/>
  <c r="Q25" i="2"/>
  <c r="R25" i="2"/>
  <c r="S25" i="2"/>
  <c r="T25" i="2"/>
  <c r="U25" i="2"/>
  <c r="V25" i="2"/>
  <c r="W25" i="2"/>
  <c r="N26" i="2"/>
  <c r="N25" i="2"/>
  <c r="L113" i="1"/>
  <c r="L111" i="1"/>
  <c r="L107" i="1"/>
  <c r="G120" i="1"/>
  <c r="I117" i="1" s="1"/>
  <c r="G115" i="1"/>
  <c r="G116" i="1"/>
  <c r="G117" i="1"/>
  <c r="L85" i="1" l="1"/>
  <c r="L82" i="1"/>
  <c r="R34" i="2"/>
  <c r="R37" i="2" s="1"/>
  <c r="X34" i="2"/>
  <c r="X37" i="2" s="1"/>
  <c r="W34" i="2"/>
  <c r="W37" i="2" s="1"/>
  <c r="V34" i="2"/>
  <c r="V37" i="2" s="1"/>
  <c r="U34" i="2"/>
  <c r="U37" i="2" s="1"/>
  <c r="T34" i="2"/>
  <c r="S34" i="2"/>
  <c r="S37" i="2" s="1"/>
  <c r="Q36" i="2"/>
  <c r="O33" i="2"/>
  <c r="O36" i="2" s="1"/>
  <c r="P33" i="2"/>
  <c r="P36" i="2" s="1"/>
  <c r="Q33" i="2"/>
  <c r="R33" i="2"/>
  <c r="R36" i="2" s="1"/>
  <c r="S33" i="2"/>
  <c r="S36" i="2" s="1"/>
  <c r="T33" i="2"/>
  <c r="T36" i="2" s="1"/>
  <c r="U33" i="2"/>
  <c r="U36" i="2" s="1"/>
  <c r="V33" i="2"/>
  <c r="V36" i="2" s="1"/>
  <c r="W33" i="2"/>
  <c r="W36" i="2" s="1"/>
  <c r="X33" i="2"/>
  <c r="X36" i="2" s="1"/>
  <c r="N33" i="2"/>
  <c r="N36" i="2" s="1"/>
  <c r="O37" i="2"/>
  <c r="P37" i="2"/>
  <c r="Q37" i="2"/>
  <c r="T37" i="2"/>
  <c r="N34" i="2"/>
  <c r="N37" i="2" s="1"/>
  <c r="L50" i="1"/>
  <c r="L47" i="1"/>
  <c r="K47" i="1" s="1"/>
  <c r="E49" i="1"/>
  <c r="E104" i="2" l="1"/>
  <c r="D104" i="2"/>
  <c r="E103" i="2"/>
  <c r="D103" i="2"/>
  <c r="E112" i="2"/>
  <c r="D112" i="2"/>
  <c r="E47" i="2"/>
  <c r="D47" i="2"/>
  <c r="G47" i="2" s="1"/>
  <c r="E46" i="2"/>
  <c r="D46" i="2"/>
  <c r="E82" i="1"/>
  <c r="D82" i="1"/>
  <c r="F82" i="1" s="1"/>
  <c r="E80" i="1"/>
  <c r="D80" i="1"/>
  <c r="L37" i="2"/>
  <c r="K37" i="2" s="1"/>
  <c r="L52" i="2"/>
  <c r="K52" i="2" s="1"/>
  <c r="E52" i="2"/>
  <c r="D52" i="2"/>
  <c r="L193" i="2"/>
  <c r="L191" i="2"/>
  <c r="L189" i="2"/>
  <c r="K189" i="2" s="1"/>
  <c r="H189" i="2" s="1"/>
  <c r="L187" i="2"/>
  <c r="E177" i="2"/>
  <c r="L117" i="1"/>
  <c r="L57" i="1"/>
  <c r="E113" i="1"/>
  <c r="E63" i="2"/>
  <c r="F52" i="2" l="1"/>
  <c r="J52" i="2" s="1"/>
  <c r="G52" i="2"/>
  <c r="I52" i="2" s="1"/>
  <c r="F47" i="2"/>
  <c r="D149" i="2"/>
  <c r="E62" i="2"/>
  <c r="D62" i="2"/>
  <c r="E37" i="2"/>
  <c r="F37" i="2" s="1"/>
  <c r="J37" i="2" s="1"/>
  <c r="D37" i="2"/>
  <c r="H52" i="2" l="1"/>
  <c r="G37" i="2"/>
  <c r="I37" i="2" s="1"/>
  <c r="H37" i="2" s="1"/>
  <c r="E77" i="2"/>
  <c r="D160" i="2"/>
  <c r="G214" i="2"/>
  <c r="H214" i="2"/>
  <c r="H215" i="2"/>
  <c r="E102" i="1"/>
  <c r="E101" i="1" s="1"/>
  <c r="D102" i="1"/>
  <c r="D101" i="1" s="1"/>
  <c r="E103" i="1"/>
  <c r="D103" i="1"/>
  <c r="E189" i="2"/>
  <c r="D189" i="2"/>
  <c r="E118" i="2"/>
  <c r="D118" i="2"/>
  <c r="D9" i="1"/>
  <c r="G103" i="1" l="1"/>
  <c r="I103" i="1" s="1"/>
  <c r="F103" i="1"/>
  <c r="J103" i="1" s="1"/>
  <c r="G101" i="1"/>
  <c r="L213" i="2" l="1"/>
  <c r="L211" i="2"/>
  <c r="J177" i="2"/>
  <c r="L66" i="1" l="1"/>
  <c r="L98" i="1"/>
  <c r="L94" i="1"/>
  <c r="E165" i="2" l="1"/>
  <c r="L115" i="2"/>
  <c r="K115" i="2" s="1"/>
  <c r="L171" i="2"/>
  <c r="L147" i="2"/>
  <c r="L135" i="2"/>
  <c r="L132" i="2"/>
  <c r="L3" i="2"/>
  <c r="K3" i="2" s="1"/>
  <c r="K102" i="2"/>
  <c r="L138" i="2"/>
  <c r="L140" i="2"/>
  <c r="K57" i="2"/>
  <c r="K58" i="2"/>
  <c r="L30" i="2"/>
  <c r="L32" i="2"/>
  <c r="L35" i="2"/>
  <c r="L108" i="2"/>
  <c r="L96" i="2"/>
  <c r="L59" i="2"/>
  <c r="K59" i="2" s="1"/>
  <c r="L93" i="2"/>
  <c r="L157" i="2" l="1"/>
  <c r="E134" i="2"/>
  <c r="D134" i="2"/>
  <c r="L54" i="2"/>
  <c r="L50" i="2"/>
  <c r="L48" i="2"/>
  <c r="L45" i="2"/>
  <c r="L7" i="2"/>
  <c r="L11" i="2"/>
  <c r="L14" i="2"/>
  <c r="L18" i="2"/>
  <c r="L22" i="2"/>
  <c r="K22" i="2" s="1"/>
  <c r="L122" i="1"/>
  <c r="K122" i="1" s="1"/>
  <c r="H122" i="1" s="1"/>
  <c r="L96" i="1"/>
  <c r="G86" i="1"/>
  <c r="L31" i="1"/>
  <c r="K31" i="1" s="1"/>
  <c r="K117" i="1"/>
  <c r="K113" i="1"/>
  <c r="D108" i="1"/>
  <c r="D165" i="2" l="1"/>
  <c r="E163" i="2"/>
  <c r="D163" i="2"/>
  <c r="E127" i="2"/>
  <c r="D127" i="2"/>
  <c r="D115" i="2" s="1"/>
  <c r="G127" i="2" l="1"/>
  <c r="E9" i="1"/>
  <c r="E59" i="1"/>
  <c r="E60" i="1"/>
  <c r="D60" i="1"/>
  <c r="D59" i="1"/>
  <c r="D49" i="1"/>
  <c r="E85" i="1"/>
  <c r="D85" i="1"/>
  <c r="E87" i="1"/>
  <c r="D87" i="1"/>
  <c r="E89" i="1"/>
  <c r="D89" i="1"/>
  <c r="E91" i="1"/>
  <c r="D91" i="1"/>
  <c r="D99" i="2"/>
  <c r="D96" i="2" s="1"/>
  <c r="E99" i="2"/>
  <c r="K213" i="2"/>
  <c r="E213" i="2"/>
  <c r="D213" i="2"/>
  <c r="E212" i="2"/>
  <c r="D212" i="2"/>
  <c r="L209" i="2"/>
  <c r="K209" i="2" s="1"/>
  <c r="E209" i="2"/>
  <c r="D209" i="2"/>
  <c r="E208" i="2"/>
  <c r="D208" i="2"/>
  <c r="L207" i="2"/>
  <c r="D207" i="2"/>
  <c r="L205" i="2"/>
  <c r="K205" i="2" s="1"/>
  <c r="E205" i="2"/>
  <c r="D205" i="2"/>
  <c r="D203" i="2" s="1"/>
  <c r="E204" i="2"/>
  <c r="D204" i="2"/>
  <c r="L203" i="2"/>
  <c r="L201" i="2"/>
  <c r="K201" i="2" s="1"/>
  <c r="E201" i="2"/>
  <c r="D201" i="2"/>
  <c r="D200" i="2" s="1"/>
  <c r="D199" i="2" s="1"/>
  <c r="L199" i="2"/>
  <c r="L197" i="2"/>
  <c r="K197" i="2" s="1"/>
  <c r="E197" i="2"/>
  <c r="D197" i="2"/>
  <c r="D195" i="2" s="1"/>
  <c r="E196" i="2"/>
  <c r="D196" i="2"/>
  <c r="L195" i="2"/>
  <c r="K191" i="2"/>
  <c r="E191" i="2"/>
  <c r="D191" i="2"/>
  <c r="D187" i="2" s="1"/>
  <c r="E188" i="2"/>
  <c r="D188" i="2"/>
  <c r="D184" i="2"/>
  <c r="L185" i="2"/>
  <c r="K185" i="2" s="1"/>
  <c r="E185" i="2"/>
  <c r="D185" i="2"/>
  <c r="D183" i="2" s="1"/>
  <c r="E184" i="2"/>
  <c r="L183" i="2"/>
  <c r="E183" i="2"/>
  <c r="L180" i="2"/>
  <c r="K180" i="2" s="1"/>
  <c r="E180" i="2"/>
  <c r="D180" i="2"/>
  <c r="L177" i="2"/>
  <c r="K177" i="2" s="1"/>
  <c r="D177" i="2"/>
  <c r="L174" i="2"/>
  <c r="K174" i="2" s="1"/>
  <c r="E174" i="2"/>
  <c r="D174" i="2"/>
  <c r="E173" i="2"/>
  <c r="D173" i="2"/>
  <c r="E172" i="2"/>
  <c r="D172" i="2"/>
  <c r="L165" i="2"/>
  <c r="K165" i="2" s="1"/>
  <c r="E164" i="2"/>
  <c r="D164" i="2"/>
  <c r="E162" i="2"/>
  <c r="D162" i="2"/>
  <c r="E161" i="2"/>
  <c r="D161" i="2"/>
  <c r="E160" i="2"/>
  <c r="L159" i="2"/>
  <c r="K159" i="2" s="1"/>
  <c r="E159" i="2"/>
  <c r="K157" i="2"/>
  <c r="E157" i="2"/>
  <c r="D157" i="2"/>
  <c r="L153" i="2"/>
  <c r="K153" i="2" s="1"/>
  <c r="E153" i="2"/>
  <c r="D153" i="2"/>
  <c r="L151" i="2"/>
  <c r="K151" i="2" s="1"/>
  <c r="E151" i="2"/>
  <c r="D151" i="2"/>
  <c r="E150" i="2"/>
  <c r="D150" i="2"/>
  <c r="E149" i="2"/>
  <c r="E148" i="2"/>
  <c r="D148" i="2"/>
  <c r="D140" i="2"/>
  <c r="K140" i="2"/>
  <c r="E140" i="2"/>
  <c r="E138" i="2"/>
  <c r="D138" i="2"/>
  <c r="K138" i="2"/>
  <c r="K135" i="2"/>
  <c r="E135" i="2"/>
  <c r="D135" i="2"/>
  <c r="D132" i="2" s="1"/>
  <c r="L127" i="2"/>
  <c r="K127" i="2" s="1"/>
  <c r="E117" i="2"/>
  <c r="D117" i="2"/>
  <c r="E116" i="2"/>
  <c r="D116" i="2"/>
  <c r="K112" i="2"/>
  <c r="K108" i="2"/>
  <c r="E108" i="2"/>
  <c r="D108" i="2"/>
  <c r="K105" i="2"/>
  <c r="E105" i="2"/>
  <c r="D105" i="2"/>
  <c r="K99" i="2"/>
  <c r="E98" i="2"/>
  <c r="D98" i="2"/>
  <c r="E97" i="2"/>
  <c r="D97" i="2"/>
  <c r="H95" i="2"/>
  <c r="H94" i="2"/>
  <c r="K93" i="2"/>
  <c r="E93" i="2"/>
  <c r="D93" i="2"/>
  <c r="L91" i="2"/>
  <c r="K91" i="2" s="1"/>
  <c r="E91" i="2"/>
  <c r="D91" i="2"/>
  <c r="L89" i="2"/>
  <c r="K89" i="2" s="1"/>
  <c r="E89" i="2"/>
  <c r="D89" i="2"/>
  <c r="L86" i="2"/>
  <c r="K86" i="2" s="1"/>
  <c r="E86" i="2"/>
  <c r="D86" i="2"/>
  <c r="L81" i="2"/>
  <c r="K81" i="2" s="1"/>
  <c r="E81" i="2"/>
  <c r="D81" i="2"/>
  <c r="L77" i="2"/>
  <c r="K77" i="2" s="1"/>
  <c r="D77" i="2"/>
  <c r="F77" i="2" s="1"/>
  <c r="L74" i="2"/>
  <c r="K74" i="2" s="1"/>
  <c r="E74" i="2"/>
  <c r="D74" i="2"/>
  <c r="L70" i="2"/>
  <c r="K70" i="2" s="1"/>
  <c r="E70" i="2"/>
  <c r="D70" i="2"/>
  <c r="L67" i="2"/>
  <c r="K67" i="2" s="1"/>
  <c r="E67" i="2"/>
  <c r="D67" i="2"/>
  <c r="L64" i="2"/>
  <c r="K64" i="2" s="1"/>
  <c r="E64" i="2"/>
  <c r="D64" i="2"/>
  <c r="D63" i="2"/>
  <c r="E61" i="2"/>
  <c r="D61" i="2"/>
  <c r="E60" i="2"/>
  <c r="D60" i="2"/>
  <c r="L56" i="2"/>
  <c r="K56" i="2" s="1"/>
  <c r="E56" i="2"/>
  <c r="D56" i="2"/>
  <c r="K54" i="2"/>
  <c r="E54" i="2"/>
  <c r="D54" i="2"/>
  <c r="K50" i="2"/>
  <c r="E50" i="2"/>
  <c r="D50" i="2"/>
  <c r="K48" i="2"/>
  <c r="E48" i="2"/>
  <c r="D48" i="2"/>
  <c r="E41" i="2"/>
  <c r="D41" i="2"/>
  <c r="K35" i="2"/>
  <c r="E35" i="2"/>
  <c r="D35" i="2"/>
  <c r="K32" i="2"/>
  <c r="E32" i="2"/>
  <c r="D32" i="2"/>
  <c r="K30" i="2"/>
  <c r="E30" i="2"/>
  <c r="D30" i="2"/>
  <c r="E28" i="2"/>
  <c r="D28" i="2"/>
  <c r="E27" i="2"/>
  <c r="D27" i="2"/>
  <c r="E26" i="2"/>
  <c r="D26" i="2"/>
  <c r="E25" i="2"/>
  <c r="D25" i="2"/>
  <c r="L24" i="2"/>
  <c r="E22" i="2"/>
  <c r="D22" i="2"/>
  <c r="K18" i="2"/>
  <c r="E18" i="2"/>
  <c r="D18" i="2"/>
  <c r="K14" i="2"/>
  <c r="E14" i="2"/>
  <c r="D14" i="2"/>
  <c r="K11" i="2"/>
  <c r="E11" i="2"/>
  <c r="D11" i="2"/>
  <c r="K7" i="2"/>
  <c r="E7" i="2"/>
  <c r="D7" i="2"/>
  <c r="E6" i="2"/>
  <c r="D6" i="2"/>
  <c r="E5" i="2"/>
  <c r="D5" i="2"/>
  <c r="E4" i="2"/>
  <c r="D4" i="2"/>
  <c r="E117" i="1"/>
  <c r="D117" i="1"/>
  <c r="D113" i="1"/>
  <c r="D110" i="1"/>
  <c r="D109" i="1"/>
  <c r="K103" i="1"/>
  <c r="H103" i="1" s="1"/>
  <c r="H101" i="1" s="1"/>
  <c r="L101" i="1"/>
  <c r="K98" i="1"/>
  <c r="E98" i="1"/>
  <c r="D98" i="1"/>
  <c r="K96" i="1"/>
  <c r="E96" i="1"/>
  <c r="D96" i="1"/>
  <c r="E95" i="1"/>
  <c r="D95" i="1"/>
  <c r="L91" i="1"/>
  <c r="K91" i="1" s="1"/>
  <c r="L89" i="1"/>
  <c r="K89" i="1" s="1"/>
  <c r="L87" i="1"/>
  <c r="K87" i="1" s="1"/>
  <c r="K85" i="1"/>
  <c r="K82" i="1"/>
  <c r="E79" i="1"/>
  <c r="D79" i="1"/>
  <c r="L78" i="1"/>
  <c r="L74" i="1"/>
  <c r="L69" i="1"/>
  <c r="K69" i="1" s="1"/>
  <c r="E69" i="1"/>
  <c r="D69" i="1"/>
  <c r="K66" i="1"/>
  <c r="E66" i="1"/>
  <c r="D66" i="1"/>
  <c r="L62" i="1"/>
  <c r="K62" i="1" s="1"/>
  <c r="E62" i="1"/>
  <c r="G62" i="1" s="1"/>
  <c r="D62" i="1"/>
  <c r="E61" i="1"/>
  <c r="D61" i="1"/>
  <c r="E58" i="1"/>
  <c r="D58" i="1"/>
  <c r="L53" i="1"/>
  <c r="K53" i="1" s="1"/>
  <c r="E53" i="1"/>
  <c r="E47" i="1" s="1"/>
  <c r="D53" i="1"/>
  <c r="K50" i="1"/>
  <c r="E48" i="1"/>
  <c r="D48" i="1"/>
  <c r="E45" i="1"/>
  <c r="L45" i="1"/>
  <c r="K45" i="1" s="1"/>
  <c r="D45" i="1"/>
  <c r="L41" i="1"/>
  <c r="K41" i="1" s="1"/>
  <c r="E41" i="1"/>
  <c r="D41" i="1"/>
  <c r="E39" i="1"/>
  <c r="D39" i="1"/>
  <c r="L38" i="1"/>
  <c r="L34" i="1"/>
  <c r="E31" i="1"/>
  <c r="D31" i="1"/>
  <c r="E30" i="1"/>
  <c r="D30" i="1"/>
  <c r="L29" i="1"/>
  <c r="D29" i="1"/>
  <c r="L24" i="1"/>
  <c r="K24" i="1" s="1"/>
  <c r="E24" i="1"/>
  <c r="D24" i="1"/>
  <c r="D21" i="1" s="1"/>
  <c r="E22" i="1"/>
  <c r="D22" i="1"/>
  <c r="L21" i="1"/>
  <c r="K17" i="1"/>
  <c r="E17" i="1"/>
  <c r="D17" i="1"/>
  <c r="K13" i="1"/>
  <c r="E13" i="1"/>
  <c r="D13" i="1"/>
  <c r="K9" i="1"/>
  <c r="K7" i="1"/>
  <c r="E7" i="1"/>
  <c r="D7" i="1"/>
  <c r="E6" i="1"/>
  <c r="D6" i="1"/>
  <c r="E5" i="1"/>
  <c r="D5" i="1"/>
  <c r="E4" i="1"/>
  <c r="D4" i="1"/>
  <c r="F81" i="2" l="1"/>
  <c r="D45" i="2"/>
  <c r="E102" i="2"/>
  <c r="G187" i="2"/>
  <c r="F187" i="2"/>
  <c r="J50" i="1"/>
  <c r="D24" i="2"/>
  <c r="G48" i="2"/>
  <c r="I48" i="2" s="1"/>
  <c r="E45" i="2"/>
  <c r="D102" i="2"/>
  <c r="E132" i="2"/>
  <c r="F93" i="2"/>
  <c r="J93" i="2" s="1"/>
  <c r="E109" i="1"/>
  <c r="E110" i="1"/>
  <c r="F85" i="1"/>
  <c r="J85" i="1" s="1"/>
  <c r="I22" i="2"/>
  <c r="G99" i="2"/>
  <c r="I99" i="2" s="1"/>
  <c r="G213" i="2"/>
  <c r="I213" i="2" s="1"/>
  <c r="G212" i="2"/>
  <c r="E78" i="1"/>
  <c r="I180" i="2"/>
  <c r="G50" i="1"/>
  <c r="I50" i="1" s="1"/>
  <c r="G138" i="2"/>
  <c r="I138" i="2" s="1"/>
  <c r="G96" i="1"/>
  <c r="I96" i="1" s="1"/>
  <c r="E59" i="2"/>
  <c r="G13" i="1"/>
  <c r="I13" i="1" s="1"/>
  <c r="G64" i="2"/>
  <c r="I64" i="2" s="1"/>
  <c r="I77" i="2"/>
  <c r="G86" i="2"/>
  <c r="I86" i="2" s="1"/>
  <c r="G91" i="1"/>
  <c r="I91" i="1" s="1"/>
  <c r="G89" i="1"/>
  <c r="I89" i="1" s="1"/>
  <c r="G183" i="2"/>
  <c r="G85" i="1"/>
  <c r="I85" i="1" s="1"/>
  <c r="G24" i="1"/>
  <c r="I24" i="1" s="1"/>
  <c r="G66" i="1"/>
  <c r="I66" i="1" s="1"/>
  <c r="D107" i="1"/>
  <c r="G135" i="2"/>
  <c r="I135" i="2" s="1"/>
  <c r="G185" i="2"/>
  <c r="I185" i="2" s="1"/>
  <c r="G201" i="2"/>
  <c r="I201" i="2" s="1"/>
  <c r="J82" i="1"/>
  <c r="G82" i="1"/>
  <c r="I82" i="1" s="1"/>
  <c r="F7" i="1"/>
  <c r="J7" i="1" s="1"/>
  <c r="G7" i="1"/>
  <c r="I7" i="1" s="1"/>
  <c r="G17" i="1"/>
  <c r="I17" i="1" s="1"/>
  <c r="G31" i="1"/>
  <c r="I31" i="1" s="1"/>
  <c r="G41" i="1"/>
  <c r="I41" i="1" s="1"/>
  <c r="G45" i="1"/>
  <c r="G53" i="1"/>
  <c r="I53" i="1" s="1"/>
  <c r="I62" i="1"/>
  <c r="G69" i="1"/>
  <c r="I69" i="1" s="1"/>
  <c r="G98" i="1"/>
  <c r="G7" i="2"/>
  <c r="I7" i="2" s="1"/>
  <c r="I14" i="2"/>
  <c r="G32" i="2"/>
  <c r="I32" i="2" s="1"/>
  <c r="F50" i="2"/>
  <c r="J50" i="2" s="1"/>
  <c r="I54" i="2"/>
  <c r="I74" i="2"/>
  <c r="G93" i="2"/>
  <c r="I93" i="2" s="1"/>
  <c r="G108" i="2"/>
  <c r="I108" i="2" s="1"/>
  <c r="G148" i="2"/>
  <c r="G149" i="2"/>
  <c r="G150" i="2"/>
  <c r="G151" i="2"/>
  <c r="I151" i="2" s="1"/>
  <c r="D147" i="2"/>
  <c r="G157" i="2"/>
  <c r="I157" i="2" s="1"/>
  <c r="I177" i="2"/>
  <c r="G191" i="2"/>
  <c r="I191" i="2" s="1"/>
  <c r="J9" i="1"/>
  <c r="I9" i="1"/>
  <c r="G70" i="2"/>
  <c r="I70" i="2" s="1"/>
  <c r="G140" i="2"/>
  <c r="I140" i="2" s="1"/>
  <c r="E195" i="2"/>
  <c r="G195" i="2" s="1"/>
  <c r="G197" i="2"/>
  <c r="I197" i="2" s="1"/>
  <c r="E203" i="2"/>
  <c r="G203" i="2" s="1"/>
  <c r="G205" i="2"/>
  <c r="I205" i="2" s="1"/>
  <c r="G11" i="2"/>
  <c r="I11" i="2" s="1"/>
  <c r="F18" i="2"/>
  <c r="J18" i="2" s="1"/>
  <c r="H18" i="2" s="1"/>
  <c r="G18" i="2"/>
  <c r="I18" i="2" s="1"/>
  <c r="G30" i="2"/>
  <c r="I30" i="2" s="1"/>
  <c r="G35" i="2"/>
  <c r="I35" i="2" s="1"/>
  <c r="G50" i="2"/>
  <c r="I50" i="2" s="1"/>
  <c r="G56" i="2"/>
  <c r="I56" i="2" s="1"/>
  <c r="G67" i="2"/>
  <c r="I67" i="2" s="1"/>
  <c r="J74" i="2"/>
  <c r="I81" i="2"/>
  <c r="F86" i="2"/>
  <c r="J86" i="2" s="1"/>
  <c r="H86" i="2" s="1"/>
  <c r="G89" i="2"/>
  <c r="I89" i="2" s="1"/>
  <c r="G91" i="2"/>
  <c r="I91" i="2" s="1"/>
  <c r="E96" i="2"/>
  <c r="G96" i="2" s="1"/>
  <c r="J99" i="2"/>
  <c r="I105" i="2"/>
  <c r="I112" i="2"/>
  <c r="F151" i="2"/>
  <c r="J151" i="2" s="1"/>
  <c r="G153" i="2"/>
  <c r="I153" i="2" s="1"/>
  <c r="G174" i="2"/>
  <c r="I174" i="2" s="1"/>
  <c r="F180" i="2"/>
  <c r="J180" i="2" s="1"/>
  <c r="H180" i="2" s="1"/>
  <c r="E207" i="2"/>
  <c r="G207" i="2" s="1"/>
  <c r="G209" i="2"/>
  <c r="I209" i="2" s="1"/>
  <c r="E211" i="2"/>
  <c r="F22" i="2"/>
  <c r="G87" i="1"/>
  <c r="I87" i="1" s="1"/>
  <c r="F87" i="1"/>
  <c r="J87" i="1" s="1"/>
  <c r="F91" i="1"/>
  <c r="J91" i="1" s="1"/>
  <c r="F89" i="1"/>
  <c r="J89" i="1" s="1"/>
  <c r="F140" i="2"/>
  <c r="F213" i="2"/>
  <c r="J213" i="2" s="1"/>
  <c r="F148" i="2"/>
  <c r="F31" i="1"/>
  <c r="F17" i="1"/>
  <c r="J17" i="1" s="1"/>
  <c r="H17" i="1" s="1"/>
  <c r="F32" i="2"/>
  <c r="J32" i="2" s="1"/>
  <c r="H32" i="2" s="1"/>
  <c r="F11" i="2"/>
  <c r="D3" i="1"/>
  <c r="F13" i="1"/>
  <c r="J13" i="1" s="1"/>
  <c r="E21" i="1"/>
  <c r="G21" i="1" s="1"/>
  <c r="E29" i="1"/>
  <c r="F41" i="1"/>
  <c r="F66" i="1"/>
  <c r="J66" i="1" s="1"/>
  <c r="F69" i="1"/>
  <c r="J69" i="1" s="1"/>
  <c r="F117" i="1"/>
  <c r="F7" i="2"/>
  <c r="E3" i="2"/>
  <c r="D3" i="2"/>
  <c r="F35" i="2"/>
  <c r="J35" i="2" s="1"/>
  <c r="H35" i="2" s="1"/>
  <c r="F56" i="2"/>
  <c r="J56" i="2" s="1"/>
  <c r="F70" i="2"/>
  <c r="F135" i="2"/>
  <c r="J135" i="2" s="1"/>
  <c r="F150" i="2"/>
  <c r="F157" i="2"/>
  <c r="J157" i="2" s="1"/>
  <c r="F174" i="2"/>
  <c r="H177" i="2"/>
  <c r="F201" i="2"/>
  <c r="J201" i="2" s="1"/>
  <c r="F195" i="2"/>
  <c r="F209" i="2"/>
  <c r="J209" i="2" s="1"/>
  <c r="F185" i="2"/>
  <c r="F197" i="2"/>
  <c r="E57" i="1"/>
  <c r="F62" i="1"/>
  <c r="J62" i="1" s="1"/>
  <c r="D57" i="1"/>
  <c r="E115" i="2"/>
  <c r="J105" i="2"/>
  <c r="E171" i="2"/>
  <c r="D171" i="2"/>
  <c r="F53" i="1"/>
  <c r="J53" i="1" s="1"/>
  <c r="D47" i="1"/>
  <c r="F98" i="1"/>
  <c r="J98" i="1" s="1"/>
  <c r="D94" i="1"/>
  <c r="F89" i="2"/>
  <c r="F67" i="2"/>
  <c r="D78" i="1"/>
  <c r="F149" i="2"/>
  <c r="D159" i="2"/>
  <c r="F138" i="2"/>
  <c r="F14" i="2"/>
  <c r="F30" i="2"/>
  <c r="F48" i="2"/>
  <c r="F64" i="2"/>
  <c r="F91" i="2"/>
  <c r="F108" i="2"/>
  <c r="F127" i="2"/>
  <c r="I127" i="2" s="1"/>
  <c r="E147" i="2"/>
  <c r="F153" i="2"/>
  <c r="F183" i="2"/>
  <c r="E187" i="2"/>
  <c r="F191" i="2"/>
  <c r="E200" i="2"/>
  <c r="E199" i="2" s="1"/>
  <c r="G199" i="2" s="1"/>
  <c r="F205" i="2"/>
  <c r="D211" i="2"/>
  <c r="D59" i="2"/>
  <c r="F59" i="2" s="1"/>
  <c r="J59" i="2" s="1"/>
  <c r="E133" i="2"/>
  <c r="E24" i="2"/>
  <c r="D133" i="2"/>
  <c r="H85" i="1"/>
  <c r="F45" i="1"/>
  <c r="J45" i="1" s="1"/>
  <c r="E38" i="1"/>
  <c r="F96" i="1"/>
  <c r="J96" i="1" s="1"/>
  <c r="H96" i="1" s="1"/>
  <c r="E94" i="1"/>
  <c r="G94" i="1" s="1"/>
  <c r="E3" i="1"/>
  <c r="F24" i="1"/>
  <c r="J24" i="1" s="1"/>
  <c r="G47" i="1" l="1"/>
  <c r="I47" i="1" s="1"/>
  <c r="J47" i="1"/>
  <c r="G78" i="1"/>
  <c r="D126" i="1"/>
  <c r="H93" i="2"/>
  <c r="G38" i="1"/>
  <c r="F207" i="2"/>
  <c r="H157" i="2"/>
  <c r="G45" i="2"/>
  <c r="H201" i="2"/>
  <c r="H199" i="2" s="1"/>
  <c r="H151" i="2"/>
  <c r="H91" i="1"/>
  <c r="H87" i="1"/>
  <c r="H213" i="2"/>
  <c r="H211" i="2" s="1"/>
  <c r="H62" i="1"/>
  <c r="H135" i="2"/>
  <c r="F203" i="2"/>
  <c r="H89" i="1"/>
  <c r="G132" i="2"/>
  <c r="G147" i="2"/>
  <c r="F96" i="2"/>
  <c r="H112" i="2"/>
  <c r="H105" i="2"/>
  <c r="H50" i="2"/>
  <c r="H209" i="2"/>
  <c r="H207" i="2" s="1"/>
  <c r="H99" i="2"/>
  <c r="H96" i="2" s="1"/>
  <c r="G115" i="2"/>
  <c r="J191" i="2"/>
  <c r="H191" i="2" s="1"/>
  <c r="H187" i="2" s="1"/>
  <c r="J127" i="2"/>
  <c r="H127" i="2" s="1"/>
  <c r="H115" i="2" s="1"/>
  <c r="J77" i="2"/>
  <c r="H77" i="2" s="1"/>
  <c r="J48" i="2"/>
  <c r="H48" i="2" s="1"/>
  <c r="J30" i="2"/>
  <c r="H30" i="2" s="1"/>
  <c r="H24" i="2" s="1"/>
  <c r="J67" i="2"/>
  <c r="H67" i="2" s="1"/>
  <c r="J89" i="2"/>
  <c r="H89" i="2" s="1"/>
  <c r="J197" i="2"/>
  <c r="H197" i="2" s="1"/>
  <c r="H195" i="2" s="1"/>
  <c r="J174" i="2"/>
  <c r="H174" i="2" s="1"/>
  <c r="H171" i="2" s="1"/>
  <c r="J7" i="2"/>
  <c r="H7" i="2" s="1"/>
  <c r="J54" i="2"/>
  <c r="H54" i="2" s="1"/>
  <c r="J205" i="2"/>
  <c r="H205" i="2" s="1"/>
  <c r="H203" i="2" s="1"/>
  <c r="J153" i="2"/>
  <c r="H153" i="2" s="1"/>
  <c r="J108" i="2"/>
  <c r="H108" i="2" s="1"/>
  <c r="J91" i="2"/>
  <c r="H91" i="2" s="1"/>
  <c r="J64" i="2"/>
  <c r="H64" i="2" s="1"/>
  <c r="J14" i="2"/>
  <c r="H14" i="2" s="1"/>
  <c r="J138" i="2"/>
  <c r="H138" i="2" s="1"/>
  <c r="J81" i="2"/>
  <c r="H81" i="2" s="1"/>
  <c r="J185" i="2"/>
  <c r="H185" i="2" s="1"/>
  <c r="H183" i="2" s="1"/>
  <c r="J70" i="2"/>
  <c r="H70" i="2" s="1"/>
  <c r="J11" i="2"/>
  <c r="H11" i="2" s="1"/>
  <c r="J140" i="2"/>
  <c r="H140" i="2" s="1"/>
  <c r="J22" i="2"/>
  <c r="H22" i="2" s="1"/>
  <c r="F3" i="2"/>
  <c r="J3" i="2" s="1"/>
  <c r="H50" i="1"/>
  <c r="J117" i="1"/>
  <c r="H117" i="1" s="1"/>
  <c r="F115" i="2"/>
  <c r="J41" i="1"/>
  <c r="H41" i="1" s="1"/>
  <c r="J31" i="1"/>
  <c r="H31" i="1" s="1"/>
  <c r="H29" i="1" s="1"/>
  <c r="G57" i="1"/>
  <c r="F29" i="1"/>
  <c r="G29" i="1"/>
  <c r="H56" i="2"/>
  <c r="I98" i="1"/>
  <c r="H98" i="1"/>
  <c r="H94" i="1" s="1"/>
  <c r="I45" i="1"/>
  <c r="H45" i="1" s="1"/>
  <c r="G211" i="2"/>
  <c r="G24" i="2"/>
  <c r="F21" i="1"/>
  <c r="H66" i="1"/>
  <c r="F57" i="1"/>
  <c r="F171" i="2"/>
  <c r="H53" i="1"/>
  <c r="H82" i="1"/>
  <c r="E217" i="2"/>
  <c r="F24" i="2"/>
  <c r="F132" i="2"/>
  <c r="F199" i="2"/>
  <c r="F147" i="2"/>
  <c r="F45" i="2"/>
  <c r="D217" i="2"/>
  <c r="D215" i="2"/>
  <c r="F211" i="2"/>
  <c r="E215" i="2"/>
  <c r="F94" i="1"/>
  <c r="F3" i="1"/>
  <c r="F38" i="1"/>
  <c r="H13" i="1"/>
  <c r="H24" i="1"/>
  <c r="H21" i="1" s="1"/>
  <c r="H9" i="1"/>
  <c r="H7" i="1"/>
  <c r="I115" i="2" l="1"/>
  <c r="J115" i="2"/>
  <c r="H57" i="1"/>
  <c r="H45" i="2"/>
  <c r="H132" i="2"/>
  <c r="H59" i="2"/>
  <c r="H147" i="2"/>
  <c r="G215" i="2"/>
  <c r="H78" i="1"/>
  <c r="H102" i="2"/>
  <c r="H3" i="2"/>
  <c r="H47" i="1"/>
  <c r="H3" i="1"/>
  <c r="H38" i="1"/>
  <c r="H69" i="1"/>
  <c r="E108" i="1"/>
  <c r="E107" i="1"/>
  <c r="E126" i="1" l="1"/>
  <c r="F107" i="1"/>
  <c r="G126" i="1"/>
  <c r="F113" i="1"/>
  <c r="J113" i="1" s="1"/>
  <c r="I113" i="1"/>
  <c r="H113" i="1" l="1"/>
  <c r="H107" i="1" s="1"/>
  <c r="H165" i="2"/>
  <c r="H159" i="2" s="1"/>
</calcChain>
</file>

<file path=xl/sharedStrings.xml><?xml version="1.0" encoding="utf-8"?>
<sst xmlns="http://schemas.openxmlformats.org/spreadsheetml/2006/main" count="1196" uniqueCount="495">
  <si>
    <t>№ п/п</t>
  </si>
  <si>
    <t>Наименование программы/ подпрограммы</t>
  </si>
  <si>
    <t>Источник финансирования</t>
  </si>
  <si>
    <t xml:space="preserve">Объем бюджетных ассигнований </t>
  </si>
  <si>
    <t xml:space="preserve">Кассовые расходы </t>
  </si>
  <si>
    <t>% экономии при выполнении программ/подпрограмм</t>
  </si>
  <si>
    <t>% выполнения мероприятий программ/подпрограмм</t>
  </si>
  <si>
    <t>Эффективность реализации программ/подпрограмм</t>
  </si>
  <si>
    <t>Бальная оценка критерия С1</t>
  </si>
  <si>
    <t>Бальная оценка критерия С2/А1</t>
  </si>
  <si>
    <t>Бальная оценка критерия С3/А2</t>
  </si>
  <si>
    <t>Степень достижения результатов подпрограмм</t>
  </si>
  <si>
    <t>Развитие культуры в Гаврилово-Посадском городском поселении</t>
  </si>
  <si>
    <t>Всего</t>
  </si>
  <si>
    <t>Наименование целевого индикатора (Единица измерения)</t>
  </si>
  <si>
    <t>Посещаемость культурно-
досуговых мероприятий (чел.)</t>
  </si>
  <si>
    <t>Увеличение количества
посещений библиотек (%)</t>
  </si>
  <si>
    <t>Рост числа клубных
формирований (кружков)</t>
  </si>
  <si>
    <t>местный бюджет</t>
  </si>
  <si>
    <t>План</t>
  </si>
  <si>
    <t>областной бюджет</t>
  </si>
  <si>
    <t>факт</t>
  </si>
  <si>
    <t>Федеральный бюджет</t>
  </si>
  <si>
    <t>1.1</t>
  </si>
  <si>
    <t>Аналитическая подпрограмма «Организация городских мероприятий»</t>
  </si>
  <si>
    <t>местный  бюджет</t>
  </si>
  <si>
    <t>1.2</t>
  </si>
  <si>
    <t>Аналитическая подпрограмма «Библиотечно-информационное обслуживание населения»</t>
  </si>
  <si>
    <t xml:space="preserve">Федеральный бюджет </t>
  </si>
  <si>
    <t>1.3</t>
  </si>
  <si>
    <t>Аналитическая подпрограмма «Обеспечение деятельности МБУ «Районное централизованное клубное объединение»</t>
  </si>
  <si>
    <t>от физ. и юр. лиц</t>
  </si>
  <si>
    <t>1.4</t>
  </si>
  <si>
    <t>Аналитическая подпрограмма «Музейно-выставочная деятельность»</t>
  </si>
  <si>
    <t>Развитие физической культуры, спорта и  реализация молодёжной политики Гаврилово-Посадского городского поселения»</t>
  </si>
  <si>
    <t>Численность жителей
Гаврилово-Посадского
городского поселения,
принявших участие в
физкультурных и спортивных
мероприятиях (человек)</t>
  </si>
  <si>
    <t>2.1</t>
  </si>
  <si>
    <t>Аналитическая подпрограмма «Организация проведения физкультурных и спортивных мероприятий»</t>
  </si>
  <si>
    <t>Аналитическая подпрограмма «Временное трудоустройство молодежи»</t>
  </si>
  <si>
    <t>финансирование отсутствует</t>
  </si>
  <si>
    <t>Получатели муниципальной
пенсии за выслугу лет (человек)</t>
  </si>
  <si>
    <t>3.1</t>
  </si>
  <si>
    <t>Поддержка малого и среднего предпринимательства в Гаврилово-Посадском городском поселении</t>
  </si>
  <si>
    <t>Наименование целевого индикатора</t>
  </si>
  <si>
    <t>Единица измерения</t>
  </si>
  <si>
    <t>4.1</t>
  </si>
  <si>
    <t>Специальная подпрограмма «Поддержка малого и среднего предпринимательства в Гаврилово-Посадском городском поселении»</t>
  </si>
  <si>
    <t>Количество малых предприятий на 1000 человек экономически активного населения</t>
  </si>
  <si>
    <t>Единиц</t>
  </si>
  <si>
    <t>Управление муниципальным имуществом Гаврилово-Посадского городского поселения</t>
  </si>
  <si>
    <t xml:space="preserve">Общая площадь муниципального жилищного фонда (тыс.
кв. м)
</t>
  </si>
  <si>
    <t>Доля оплаты услуг по начислению, сбору платежей за наем жилого помещения муниципального жилищного фонда и доставке квитанций (%)</t>
  </si>
  <si>
    <t>Доля перечисления региональному оператору взносов на проведение капитального ремонта за муниципальные жилые помещения (%)</t>
  </si>
  <si>
    <t>Количество автомобильных дорог, в отношении которых требуется оформление права муниципальной собственности (единиц)</t>
  </si>
  <si>
    <t>Количество объектов жилищно-коммунального хозяйства, в отношении которых требуется оформление права муниципальной собственности</t>
  </si>
  <si>
    <t>5.1</t>
  </si>
  <si>
    <t>Специальная подпрограмма «Оформление права муниципальной собственности на объекты дорожного и жилищно-коммунального хозяйства»</t>
  </si>
  <si>
    <t>5.2</t>
  </si>
  <si>
    <t>5.3</t>
  </si>
  <si>
    <t>Аналитическая подпрограмма «Содержание муниципального жилищного фонда»</t>
  </si>
  <si>
    <t>Развитие транспортной системы Гаврилово-Посадского городского поселения</t>
  </si>
  <si>
    <t>6.1</t>
  </si>
  <si>
    <t>Специальная  подпрограмма «Содержание и ремонт автомобильных дорог общего пользования местного значения и инженерных сооружений на них»</t>
  </si>
  <si>
    <t>Количество
перевезенных
пассажиров на
1000 человек
населения района (тыс.)</t>
  </si>
  <si>
    <t>Стоимость одного
пасс / километра на
1000 человек
населения района (руб.)</t>
  </si>
  <si>
    <t>6.2</t>
  </si>
  <si>
    <t xml:space="preserve">Специальные подпрограммы «Субсидирование транспортного обслуживания населения Гаврилово-Посадского городского поселения » </t>
  </si>
  <si>
    <t>Количество
потребителей услуги
городской баниа (чел.)</t>
  </si>
  <si>
    <t>федеральный бюджет</t>
  </si>
  <si>
    <t>внебюджетное финансирование</t>
  </si>
  <si>
    <t>7.1</t>
  </si>
  <si>
    <t>Специальная подпрограмма «Муниципальное общежитие»</t>
  </si>
  <si>
    <t>7.2</t>
  </si>
  <si>
    <t>Специальная подпрограмма «Услуги городской бани»</t>
  </si>
  <si>
    <t>Количество
потребителей
услуги городской
бани (ед.)</t>
  </si>
  <si>
    <t>7.3</t>
  </si>
  <si>
    <t>Число получателей мер социальной поддержки по обеспечению жильем отдельных категорий граждан,
установленных областным законодательством от 14.03.1997 «7-ОЗ «О дополнительных гарантиях по социальной поддержке детей-сирот и детей, оставшихся без попечения (ед.)</t>
  </si>
  <si>
    <t>Доля территорий общего пользования, находящихся на круглогодичном содержании, в общей площади таких территорий (%)</t>
  </si>
  <si>
    <t>Объем уборки обочин и газонов дорог (км прохода)</t>
  </si>
  <si>
    <t>Доля обслуживающих  зеленых насаждений в общей площади таких территорий</t>
  </si>
  <si>
    <t>8.1</t>
  </si>
  <si>
    <t>Аналитическая подпрограмма «Уличное освещение территории Гаврилово-Посадского городского поселения»</t>
  </si>
  <si>
    <t>Доля освещенных частей улиц в общей протяженности улич-но-дорожной сети (%)</t>
  </si>
  <si>
    <t>Объем уборки обочин и газонов дорог (км.прохода)</t>
  </si>
  <si>
    <t>Площадь территорий кладбищ (га)</t>
  </si>
  <si>
    <t>Количество наруше-ний установленных сроков расчистки от снега дорог кладбищ в зимнее время (ед.)</t>
  </si>
  <si>
    <t>Количество письмен-ных жалоб населения на качество предос-тавления услуг(ед.)</t>
  </si>
  <si>
    <t>8.2</t>
  </si>
  <si>
    <t>Аналитическая  подпрограмма «Благоустройство и озеленение территории Гаврилово-Посадского городского поселения»</t>
  </si>
  <si>
    <t>8.4</t>
  </si>
  <si>
    <t>Специальная подпрограмма «Оказание муниципальной услуги Благоустройство территории общего пользования»</t>
  </si>
  <si>
    <t>8.5</t>
  </si>
  <si>
    <t>Специальная подпрограмма «Содержание муниципального бюджетного учреждения «Надежда»»</t>
  </si>
  <si>
    <t>Специальная подпрограмма «Оказание муниципальной услуги Содержание и благоустройство кладбищ Гаврилово-Посадского городского поселения»</t>
  </si>
  <si>
    <t>9</t>
  </si>
  <si>
    <t>Пожарная безопасность и  защита населения и территории Гаврилово-Посадского городского поселения от чрезвычайных ситуаций</t>
  </si>
  <si>
    <t>«Количество ЧС
техногенного
характера»</t>
  </si>
  <si>
    <t>Шт.</t>
  </si>
  <si>
    <t>9.1</t>
  </si>
  <si>
    <t>Аналитическая  подпрограмма «Защита населения и территорий от чрезвычайных ситуаций»</t>
  </si>
  <si>
    <t>«Число
травмированных
при ЧС»</t>
  </si>
  <si>
    <t>Чел.</t>
  </si>
  <si>
    <t>9.2</t>
  </si>
  <si>
    <t>Аналитическая  подпрограмма «Обеспечение пожарной безопасности Гаврилово-Посадского городского поселения»</t>
  </si>
  <si>
    <t>«Количество
пожаров»</t>
  </si>
  <si>
    <t>Долгосрочная сбалансированность и устойчивость бюджета Гаврилово-Посадского городского поселения</t>
  </si>
  <si>
    <t>Отношение объема муниципального долга бюджета (за вычетом бюджетных кредитов) к доходам бюджета (без учета объема безвозмездных поступлений)</t>
  </si>
  <si>
    <t>%</t>
  </si>
  <si>
    <t>10.1</t>
  </si>
  <si>
    <t>Аналитическая подпрограмма «Обеспечение финансирования непредвиденных расходов бюджета Гаврилово-Посадского городского поселения»</t>
  </si>
  <si>
    <t>Доля просроченной кредиторской задолженности бюджета в общей сумме кредиторской задолженности</t>
  </si>
  <si>
    <t>Число случаев нарушения установленных сроков выделения средств из резервного фонда</t>
  </si>
  <si>
    <t>раз</t>
  </si>
  <si>
    <t>10.2</t>
  </si>
  <si>
    <t>Специальная подпрограмма «Повышение качества управления муниципальными финансами»</t>
  </si>
  <si>
    <t xml:space="preserve">Формирование современной городской среды Гаврилово-Посадского городского поселения </t>
  </si>
  <si>
    <t>Количество благоустроенных дворовых территорий (ед.)</t>
  </si>
  <si>
    <t>Доля благоустроенных дворовых территорий от общего количества дворовых территорий (ед.)</t>
  </si>
  <si>
    <t>Количество благоустроенных  муниципальных территорий общего пользования (ед.)</t>
  </si>
  <si>
    <t>Площадь благоустроенных  муниципальных территорий общего пользования (га)</t>
  </si>
  <si>
    <t>Доля  площади  благоустроенных  муниципальных территорий общего пользования (%)</t>
  </si>
  <si>
    <t>11.1</t>
  </si>
  <si>
    <t>Специальная подпрограмма «Благоустройство дворовых территорий»</t>
  </si>
  <si>
    <t>11.2</t>
  </si>
  <si>
    <t>Специальная подпрограмма «Благоустройство общественных территорий»</t>
  </si>
  <si>
    <t>11.3</t>
  </si>
  <si>
    <t>12</t>
  </si>
  <si>
    <t>«Поддержка граждан в сфере ипотечного жилищного кредитования в Гаврилово-Посадском городском поселении»</t>
  </si>
  <si>
    <t>ИТОГО</t>
  </si>
  <si>
    <t>должно быть:</t>
  </si>
  <si>
    <t>Доля жителей Гаврилово-Посадского муниципального района вовлеченных в культурно-массовые досуговые мероприятия (%)</t>
  </si>
  <si>
    <t>Увеличение количества посещений концертных мероприятий (%)</t>
  </si>
  <si>
    <t>Увеличение доли детей, привлекаемых к участию в творческих мероприятиях, в общем числе детей (%)</t>
  </si>
  <si>
    <t>Количество социально-значимых мероприятий, посвященных памятным и юбилейным датам за весь период реализации программы (единиц)</t>
  </si>
  <si>
    <t>Численность детей, получающих дополнительное образование в сфере культуры (человек)</t>
  </si>
  <si>
    <t>Развитие культуры Гаврилово-Посадского муниципального района</t>
  </si>
  <si>
    <t>Аналитическая подпрограмма «Обеспечение деятельности МБУ «Центр русского народного творчества Гаврилово-Посадского муниципального района Ивановской области»</t>
  </si>
  <si>
    <t>Аналитическая подпрограмма «Библиотечно-информационное обслуживание населения Гаврилово-Посадского муниципального района»</t>
  </si>
  <si>
    <t>Аналитическая подпрограмма «Развитие дополнительного образования детей»</t>
  </si>
  <si>
    <t>от физ. и юр. Лиц</t>
  </si>
  <si>
    <t>Аналитическая подпрограмма «Организация культурно-массовых мероприятий»</t>
  </si>
  <si>
    <t>Обеспечение деятельности Муниципального казенного учреждения «Центр обеспечения деятельности учреждений культуры»</t>
  </si>
  <si>
    <t>Развитие физической культуры, спорта и повышение эффективности реализации молодёжной политики Гаврилово-Посадского муниципального района</t>
  </si>
  <si>
    <t>Количество секций (единиц)</t>
  </si>
  <si>
    <t>Кол-во крупных спортивно-массовых мероприятий МБУ «Спортивно – оздоровительный центр» (единиц)</t>
  </si>
  <si>
    <t>Организация и проведение спортивно-оздоровительных мероприятий по заявке (единиц)</t>
  </si>
  <si>
    <t>Количество спортивных сооружений в районе (единиц)</t>
  </si>
  <si>
    <t>Количество  занимающихся физкультурой (человек)</t>
  </si>
  <si>
    <t>Количество спортсменов массовых разрядов (человек)</t>
  </si>
  <si>
    <t>Количество проведённых спортивно-массовых мероприятий отделом по физической культуре и спорту (единиц)</t>
  </si>
  <si>
    <t>Количество молодых семей, получивших соц. выплату на приобретение или строительство жилья (семей)</t>
  </si>
  <si>
    <t>Число детей и молодежи, посетившей районные и межпоселенческие мероприятия по работе с молодежью (человек)</t>
  </si>
  <si>
    <t>Количество проведенных районных и межпоселенческих мероприятий для детей и молодежи (единиц)</t>
  </si>
  <si>
    <t>Количество подростков, охваченных трудовой занятостью (человек)</t>
  </si>
  <si>
    <t>Аналитическая подпрограмма «Развитие физической культуры и массового спорта»</t>
  </si>
  <si>
    <t>Аналитическая подпрограмма «Деятельность МБУ «Спортивно-оздоровительный центр Гаврилово-Посадского муниципального района»</t>
  </si>
  <si>
    <t>2.3</t>
  </si>
  <si>
    <t>Аналитическая подпрограмма «Организация и осуществление мероприятий по работе с детьми и молодежью»</t>
  </si>
  <si>
    <t>2.4</t>
  </si>
  <si>
    <t xml:space="preserve">Специальная подпрограмма «Обеспечение жильем молодых семей» </t>
  </si>
  <si>
    <t>2.5</t>
  </si>
  <si>
    <t>Специальная программа «Проведение ремонта жилых помещений, принадлежащих на праве собственности детям-сиротам и детям, оставшимся без попечения родителей»</t>
  </si>
  <si>
    <t>2.6</t>
  </si>
  <si>
    <t>Финансирование отсутствует</t>
  </si>
  <si>
    <t>Социальная поддержка граждан Гаврилово-Посадского муниципального района</t>
  </si>
  <si>
    <t>Размер дефицита обеспеченности врачебными кадрами  (%)</t>
  </si>
  <si>
    <t>Привлечение молодых специалистов (чел.)</t>
  </si>
  <si>
    <t>Получатели муниципальной пенсии за выслугу лет</t>
  </si>
  <si>
    <t>Специальная подпрограмма «Содействие обеспечению кадрами учреждений здравоохранения в Гаврилово-Посадском муниципальном районе»</t>
  </si>
  <si>
    <t>3.2</t>
  </si>
  <si>
    <t>Специальная подпрограмма «Организация дополнительного пенсионного обеспечения отдельных категорий граждан»</t>
  </si>
  <si>
    <t>3.3</t>
  </si>
  <si>
    <t xml:space="preserve">Специальная подпрограмма «Проведение ремонта жилых помещений инвалидов и участников Великой Отечественной войны 1941-1945 годов» </t>
  </si>
  <si>
    <t>3.4</t>
  </si>
  <si>
    <t>Специальная подпрограмма "Специальная подпрограмма«Привлечение молодых специалистов для работы в муниципальных учреждениях культуры "Гаврилово-Посадского муниципального района»</t>
  </si>
  <si>
    <t>3.5</t>
  </si>
  <si>
    <t>Специальная подпрограмма «Развитие и поддержка Гаврилово-Посадской общественной ветеранской организации всероссийской общественной организации (пенсионеров) войны, труда, вооруженных Сил и правоохранительных органов»</t>
  </si>
  <si>
    <t>Развитие системы образования Гаврилово-Посадского муниципального района</t>
  </si>
  <si>
    <t>Охват детей  в возрасте от 1 до 7 лет дошкольным образованием</t>
  </si>
  <si>
    <t>от юридических и физических лиц</t>
  </si>
  <si>
    <t>Специальная подпрограмма «Выявление и поддержка одаренных детей»</t>
  </si>
  <si>
    <t>4.2</t>
  </si>
  <si>
    <t>Специальная подпрограмма «Организация целевой подготовки педагогов для работы в муниципальных образовательных организациях»района»</t>
  </si>
  <si>
    <t>4.3</t>
  </si>
  <si>
    <t>4.4</t>
  </si>
  <si>
    <t>4.5</t>
  </si>
  <si>
    <t>Аналитическая подпрограмма «Дошкольное образование»</t>
  </si>
  <si>
    <t xml:space="preserve"> юр. и физических лиц</t>
  </si>
  <si>
    <t>4.6</t>
  </si>
  <si>
    <t>Аналитическая подпрограмма «Начальное общее, основное общее и среднее (полное) общее образование»</t>
  </si>
  <si>
    <t>Доля выпускников муниципальных общеобразовательных учреждений, сдавших единый государственный экзамен по русскому языку (%)</t>
  </si>
  <si>
    <t>Доля выпускников муниципальных общеобразовательных учреждений, сдавших ЕГЭ по математике (%)</t>
  </si>
  <si>
    <t>Удельный вес численности учителей в возрасте до 30 лет в общей численности учителей образовательных организаций (чел.)</t>
  </si>
  <si>
    <t>Доля учащихся, обучающихся в школах, отвечающих современным требованиям к условиям организации образовательного процесса на 80-100% (чел.)</t>
  </si>
  <si>
    <t>Доля педагогов, внедряющих ин-формационно-коммуникационные технологии в образовательный про-цесс (%)</t>
  </si>
  <si>
    <t>Охват детей дополнительным образованием</t>
  </si>
  <si>
    <t>Доля детей ставших победителями, лауреатами, призерами областных и всероссийских соревнований (%)</t>
  </si>
  <si>
    <t>4.7</t>
  </si>
  <si>
    <t>Аналитическая подпрограмма «Дополнительное образование детей»</t>
  </si>
  <si>
    <t>4.8</t>
  </si>
  <si>
    <t>Аналитическая подпрограмма «Обеспечение ведения бухгалтерского учета в учреждениях, подведомственных Отделу образования администрации Гаврилово-Посадского муниципального района»</t>
  </si>
  <si>
    <t>Доля аттестованных педагогических работников (%)</t>
  </si>
  <si>
    <t>Доля педагогических работников по-высивших квалификацию (%)</t>
  </si>
  <si>
    <t>Доля педагогических работников, участвовавших в конкурсах  методи-ческих разработок, конкурсе лучших учителей, конкурс «Педагог года»</t>
  </si>
  <si>
    <t>4.9</t>
  </si>
  <si>
    <t>Аналитическая подпрограмма «Обеспечение деятельности Информационно-технического центра Отдела образования  Гаврилово-Посадского муниципального района»</t>
  </si>
  <si>
    <t>4.10</t>
  </si>
  <si>
    <t>Развитие газификации Гаврилово-Посадского муниципального района</t>
  </si>
  <si>
    <t>Количество
газифицированных
населенных пунктов к их
общему числу (единиц, %)</t>
  </si>
  <si>
    <t>Специальная подпрограмма «Строительство сетей газоснабжения в Гаврилово-Посадском муниципальном районе Ивановской области»</t>
  </si>
  <si>
    <t>Развитие транспортной системы Гаврилово-Посадского муниципального района</t>
  </si>
  <si>
    <t>Протяженность дорог с твердым покрытием (КМ)</t>
  </si>
  <si>
    <t>Средняя скорость передвижения (км/час)</t>
  </si>
  <si>
    <t>Снижение стоимости перевозок (%)</t>
  </si>
  <si>
    <t xml:space="preserve">Специальная  подпрограмма «Развитие сети автомобильных дорог общего пользования местного значения в Гаврилово-Посадском районе </t>
  </si>
  <si>
    <t>Развитие сети
автомобильных дорог
общего пользования
местного значения в
Гаврилово-Посадском
районе (тыс.руб.)</t>
  </si>
  <si>
    <t xml:space="preserve">Специальные подпрограммы «Субсидирование транспортного обслуживания населения Гаврилово-Посадского муниципального района» </t>
  </si>
  <si>
    <t>6.3</t>
  </si>
  <si>
    <t>Специальная  подпрограмма «Развитие сети автомобильных дорог общего пользования местного значения в сельских поселениях Гаврилово-Посадского муниципального района»</t>
  </si>
  <si>
    <t>Обеспечение доступным и комфортным жильем, объектами инженерной инфраструктуры населения   Гаврилово-Посадского муниципального района</t>
  </si>
  <si>
    <t>Общая площадь
жилых помещений,
приходящихся в
среднем на 1 жителя
Гаврилово-Посадского
муниципального
района,на конец года (кв.м. на
1 чел.)</t>
  </si>
  <si>
    <t>Количество семей,
улучшивших
жилищные условия с
помощью мер
бюджетной
поддержки в сфере
ипотечного
жилищного
кредитования (семей)</t>
  </si>
  <si>
    <t>Количество
выдаваемых
ипотечных жилищных кредитов (ед.)</t>
  </si>
  <si>
    <t>Доля семей, имеющих
возможность
приобрести жилье,
соответствующее
стандартам
обеспечения жилыми
помещениями, с
помощью
собственных и
заемных средств (%)</t>
  </si>
  <si>
    <t>Коэффициент
доступности жилья
(соотношение средней
рыночной стоимости
стандартной квартиры
общей площадью 54
кв. м и среднего
годового совокупного
денежного дохода
семьи, состоящей из 3
человек) (%)</t>
  </si>
  <si>
    <t>Уровень износа
объектов жилищно-
коммунального
хозяйства (%)</t>
  </si>
  <si>
    <t>Доля средств
внебюджетных
источников в общем
объеме инвестиций в
модернизацию
объектов
коммунальной
инфраструктуры (%)</t>
  </si>
  <si>
    <t>Доля частных
компаний,
управляющих
объектами
коммунальной
инфраструктуры, в
общем количестве
всех организаций
коммунального комплекса (%)</t>
  </si>
  <si>
    <t>Доля заемных средств
в общем объеме
капитальных
вложений в системы
теплоснабжения,
водоснабжения,
водоотведения и
очистки сточных вод (%)</t>
  </si>
  <si>
    <t>Специальная подпрограмма «Модернизация объектов коммунальной инфраструктуры Гаврилово-Посадского муниципального района»</t>
  </si>
  <si>
    <t>Специальная подпрограмма «Бюджетная поддержка граждан в сфере ипотечного жилищного кредитования в Гаврилово-Посадском муниципальном районе»</t>
  </si>
  <si>
    <t>Улучшение экологической обстановки  Гаврилово-Посадского муниципального района</t>
  </si>
  <si>
    <t>Выполнение работ по межеванию земельных участков  природных объектов (ед. участков)</t>
  </si>
  <si>
    <t>Специальная подпрограмма «Обращение с отходами производства и потребления»</t>
  </si>
  <si>
    <t>Специальная подпрограмма «Озеленение населенных пунктов района и экологическое воспитание населения»</t>
  </si>
  <si>
    <t>8.3</t>
  </si>
  <si>
    <t>Специальная подпрограмма «Особо охраняемые природные территории местного значения»</t>
  </si>
  <si>
    <t>Специальная подпрограмма «Обустройство места отдыха населения»</t>
  </si>
  <si>
    <t>Специальная подпрограмма «Городские леса»</t>
  </si>
  <si>
    <t>Экономическое развитие Гаврилово-Посадского муниципального района</t>
  </si>
  <si>
    <t>Количество малых предприятий на тысячу чел. Населения</t>
  </si>
  <si>
    <t>Доля среднесписочной численности работников малых предприятий в среднесписочной числености работников всех организаций и предприятий</t>
  </si>
  <si>
    <t>Доля продукции, произведенной СМСП в общем объеме произведенной продукции и услуг, предприятиями района</t>
  </si>
  <si>
    <t>Количество услуг, предоставляемых через МФЦ</t>
  </si>
  <si>
    <t>Количество пакетов принятых документов</t>
  </si>
  <si>
    <t>Количество консультаций в месяц</t>
  </si>
  <si>
    <t>Численность пострадавших от несчастных случаев на производстве со смертельным исходом</t>
  </si>
  <si>
    <t>Численность пострадавших от несчастных случаев на производстве с утратой трудоспособности на 1 день и более</t>
  </si>
  <si>
    <t>Количество рабочих мест, на которых произведена СОУТ</t>
  </si>
  <si>
    <t>Численность работников,  обученных по охране труда в аккредитованных учреждениях</t>
  </si>
  <si>
    <t>единиц</t>
  </si>
  <si>
    <t>шт.</t>
  </si>
  <si>
    <t>чел.</t>
  </si>
  <si>
    <t>Специальная подпрограмма «Развитие малого и среднего предпринимательства в Гаврилово-Посадском муниципальном районе Ивановской области на 2017-2020 годы»</t>
  </si>
  <si>
    <t>Специальная подпрограмма «Создание и развитие многофункционального центра предоставления государственных и муниципальных услуг Гаврилово-Посадского муниципального района»</t>
  </si>
  <si>
    <t>9.3</t>
  </si>
  <si>
    <t>Специальная подпрограмма «Улучшение условий и охраны труда в Гаврилово-Посадском муниципальном районе»</t>
  </si>
  <si>
    <t>Развитие сельского хозяйства и регулирование рынков сельскохозяйственной продукции, сырья и продовольствия в Гаврилово-Посадском муниципальном районе</t>
  </si>
  <si>
    <t>Посевная площадь зерновые зернобобовые
культуры-всего, в том числе: сельхозорганизации и
КФХ хозяйства населения</t>
  </si>
  <si>
    <t>Картофель – всего в том числе:
сельхозорганизации и
КФХ хозяйства населения</t>
  </si>
  <si>
    <t>Овощи – всего в том числе:
сельхозорганизации и КФХ
хозяйства населения</t>
  </si>
  <si>
    <t>Производство основных
видов продукции. Зерно в весе после доработки – всего в том числе: сельхозорганизации и
КФХ хозяйства населения</t>
  </si>
  <si>
    <t>картофель – всего в том числе:
сельхозорганизации и КФХ
хозяйства населения</t>
  </si>
  <si>
    <t>овощи – всего в том числе:
сельхозорганизации и КФХ</t>
  </si>
  <si>
    <t>Реализация зерновых и
зернобобовых культур в
весе после доработки в
хозяйствах всех категорий</t>
  </si>
  <si>
    <t>Посевная площадь,
засеваемая элитными
семенами</t>
  </si>
  <si>
    <t>Производство молока во
всех категориях хозяйств
в том числе: сельхозорганизации и КФХ хозяйства населения</t>
  </si>
  <si>
    <t>Производство (реализация) скота и
птицы на убой в живом весе во всех категориях хозяйств в том числе:
сельхозорганизации и КФХ
хозяйства населения</t>
  </si>
  <si>
    <t>Количество приобретенной
новой техники
сельскохозяйственными
товаропроизводителями</t>
  </si>
  <si>
    <t>Ввод (приобретение) жилья для
граждан,
проживающих
в
сельской местности (кв.м.)</t>
  </si>
  <si>
    <t>Организация деятельности органов местного самоуправления  Гаврилово-Посадского муниципального района</t>
  </si>
  <si>
    <t>Доля муниципальных служащих, прошедших повышение квалификации</t>
  </si>
  <si>
    <t>Полнота исполнения переданных законодательством РФ отдельных государственных полномочий</t>
  </si>
  <si>
    <t>Полнота исполнения принятых полномочий поселений Гаврилово-Посадского муниципального района</t>
  </si>
  <si>
    <t>Количество предоставляемых муниципальных услуг</t>
  </si>
  <si>
    <t>Объем расходов бюджета в расчете на одного жителя района</t>
  </si>
  <si>
    <t>Объем расходов бюджета на содержание работников ОМСУ в расчете на одного жителя муниципального района</t>
  </si>
  <si>
    <t>Полнота реализации вопросов местного значения, в соответствии с федеральным законодательством</t>
  </si>
  <si>
    <t>Человек</t>
  </si>
  <si>
    <t>тыс.руб/на 1 жителя</t>
  </si>
  <si>
    <t>Специальная подпрограмма «Эффективный муниципалитет»</t>
  </si>
  <si>
    <t>Аналитическая подпрограмма «Обеспечение деятельности администрации Гаврилово-Посадского муниципального района, ее отраслевых (функциональных) органов»</t>
  </si>
  <si>
    <t>Аналитическая подпрограмма «Обеспечение деятельности Совета Гаврилово-Посадского муниципального района»</t>
  </si>
  <si>
    <t>Совершенствование работы органов местного самоуправления Гаврилово-Посадского муниципального района</t>
  </si>
  <si>
    <t>«Уровень обеспеченности материально-технического и
финансово-хозяйственного
обеспечения деятельности» (%)</t>
  </si>
  <si>
    <t>«Уровень содержания зданий и
служебных помещений в надлежащем порядке» (%)</t>
  </si>
  <si>
    <t>12.1</t>
  </si>
  <si>
    <t>Аналитическая подпрограмма «Обеспечение деятельности органов местного самоуправления Гаврилово-Посадского муниципального района»</t>
  </si>
  <si>
    <t>Долгосрочная сбалансированность и устойчивость консолидированного бюджета Гаврилово-Посадского муниципального района</t>
  </si>
  <si>
    <t>13.1</t>
  </si>
  <si>
    <t>Аналитическая подпрограмма «Обеспечение финансирования непредвиденных расходов бюджета Гаврилово-Посадского муниципального района»</t>
  </si>
  <si>
    <t>Число случаев нарушения установленных сроков выделения  средств из резервного фонда</t>
  </si>
  <si>
    <t>13.2</t>
  </si>
  <si>
    <t>Аналитическая подпрограмма «Обеспечение сбалансированности бюджетов поселений  Гаврилово-Посадского муниципального района»</t>
  </si>
  <si>
    <t>13.3</t>
  </si>
  <si>
    <t>Доля расходов консолидированного бюджета, осуществляемых в рамках муниципальныхпрограмм (без учета расходов, осуществляемых за счет субвенцуий из бюджетов бюджетной системы РФ)</t>
  </si>
  <si>
    <t>Обеспечение доступным и комфортным жильем граждан сельских поселений Гаврилово-Посадского муниципального района</t>
  </si>
  <si>
    <t>Количество отремонтированных
муниципальных жилых помещений
за год (единиц)</t>
  </si>
  <si>
    <t>14.1</t>
  </si>
  <si>
    <t>Специальная подпрограмма «Обеспечение доступным и комфортным жильем граждан сельских поселений Гаврилово-Посадского муниципального района»</t>
  </si>
  <si>
    <t>Организация обеспечения населения в сельских поселениях Гаврилово-Посадского муниципального района коммунальными услугами и топливом</t>
  </si>
  <si>
    <t>Протяженность  канализационных и водопроводных сетей (м)</t>
  </si>
  <si>
    <t>Количество колодцев, требующих ремонта или
чистки (шт.)</t>
  </si>
  <si>
    <t>Количество КТП в  муниципальной собственности
или на обслуживании
Шекшовского сельского
поселения (шт)</t>
  </si>
  <si>
    <t>15.1</t>
  </si>
  <si>
    <t>Специальная подпрограмма «Организация обеспечения населения в сельских поселениях Гаврилово-Посадского муниципального района коммунальными услугами и топливом»</t>
  </si>
  <si>
    <t>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</t>
  </si>
  <si>
    <t>Количество выявленных органом муниципального контроля несанкционированных свалок (ед.)</t>
  </si>
  <si>
    <t>Количество выявленных органами  госконтроля несанкционированных свалок (ед.)</t>
  </si>
  <si>
    <t>Количество письменных жалоб населения на организацию сбора и вывоза ТКО (ед.)</t>
  </si>
  <si>
    <t>16.1</t>
  </si>
  <si>
    <t>Специальная подпрограмма «Участие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района»</t>
  </si>
  <si>
    <t>Организация ритуальных услуг и содержание мест захоронения в сельских поселениях Гаврилово-Посадского муниципального района</t>
  </si>
  <si>
    <t>17.1</t>
  </si>
  <si>
    <t>Развитие многоуровневой системы профилактики правонарушений и обеспечение безопасности граждан на территории Гаврилово-Посадского муниципального района</t>
  </si>
  <si>
    <t>Удельный вес преступлений совершаемых несовершеннолетними (%)</t>
  </si>
  <si>
    <t>Количество ДТП (единиц)</t>
  </si>
  <si>
    <t>Удельный вес ДТП с по-страдавшими (%)</t>
  </si>
  <si>
    <t>Удельный вес ДТП с участием несовершенно-летних (%)</t>
  </si>
  <si>
    <t>Количество учащихся, задействованных в меро-приятиях по профилак-тике ДТП (человек)</t>
  </si>
  <si>
    <t>Удельный вес зарегист-рированных лиц с диаг-нозом "наркомания" (%)</t>
  </si>
  <si>
    <t>Удельный вес зарегистрированных лиц с диагнозом "пагубное потребление наркотиков" (%)</t>
  </si>
  <si>
    <t>Удельный вес преступ-лений в сфере незакон-ного оборота наркотиков (%)</t>
  </si>
  <si>
    <t>Удельный вес админист-ративных правонаруше-ний в сфере незаконного оборота наркотиков (%)</t>
  </si>
  <si>
    <t>18.1</t>
  </si>
  <si>
    <t>Специальная подпрограмма «Профилактика правонарушений, обеспечение общественного порядка и противодействие преступности»</t>
  </si>
  <si>
    <t>Количество семей, улучшивших жилищные условия с помощью мер гос. Поддержки в сфере ипотечного жилищного кредитования, м</t>
  </si>
  <si>
    <t>Специальная Подпрограмма  "Обеспечение доступным и комфортным жильем граждан и отдельных категорий граждан, установленных законодательством (дети-сироты и дети, оставшихся без попечения родителей, лицам из числа детей-сирот и детей, оставшихся без попечения родителей)"</t>
  </si>
  <si>
    <t>бюджет государственных внебюджетных фондов</t>
  </si>
  <si>
    <t>Обеспечение доступным и комфортным жильем и жилищно-коммунальными услугами граждан Гаврилово-Посадского  городского поселения</t>
  </si>
  <si>
    <t>Специальная Программа «Социальная поддержка граждан Гаврилово-Посадского городского поселения Гаврилово-Посадского муниципального района»</t>
  </si>
  <si>
    <t>Специальная подпрограмма «Обеспечение жильем молодых семей Гаврилово-Посадского городского поселения Гаврилово-Посадского муниципального района»</t>
  </si>
  <si>
    <t>Доля учреждений культуры Гаврилово-Посадского городского поселения, в которых внедрены информационно-коммуникационные технологии для доступности информации об услугах сферы культуры (чел.)</t>
  </si>
  <si>
    <t>бюдеты государственных внебюджетных фондов</t>
  </si>
  <si>
    <t xml:space="preserve">Ежегодное увеличение не менее чем на 10% количества объектов имущества в перечне муниципального имущества </t>
  </si>
  <si>
    <t>бюджеты сельских поселений</t>
  </si>
  <si>
    <t>бюджет муниципального района</t>
  </si>
  <si>
    <t>Доля территорий общего пользования, на которых проводится акарицидная обработка (%)</t>
  </si>
  <si>
    <t>Доля  территорий, на которых проводится борьба с распространением борщевика Сосновского (%)</t>
  </si>
  <si>
    <t>Количество рассады цветочных растений, используемых  для  общественных клумб (тыс. корней)</t>
  </si>
  <si>
    <t>Доля обслуживающих зеленых насаждений в общей площади таких территорий  (%)</t>
  </si>
  <si>
    <t>Уровень обеспеченности материально-технического и фи-нансово-хозяйственного обеспечения деятельности (%)</t>
  </si>
  <si>
    <t>Уровень содержания помещений и сооружений в надлежащем порядке (%)</t>
  </si>
  <si>
    <t>Доля энергосберегающих светильников (%)</t>
  </si>
  <si>
    <t>Объем утилизированного мусора при ликвидации навалов мусора свалок (тн)</t>
  </si>
  <si>
    <t xml:space="preserve">Рекультивация городской свалки ТБО, расположенной юго-восточнее с. Закомелье всего, в т.ч.
проведение экспертизы проекта рекультивации
</t>
  </si>
  <si>
    <t xml:space="preserve">Организация нормативного обращения с ртутьсодержащими отходами бюджетными организациями (22 организации) 
Функционирование 6-ти пунктов приема ртутьсодержащих отходов от населения
</t>
  </si>
  <si>
    <t>Проведение Акции по сбору макулатуры среди школьников района (награждение победителя  соревнования)</t>
  </si>
  <si>
    <t>Выполнение работ по установке аншлагов на территориях ООПТ м.зн., прошедших пас-портизацию (единиц аншлагов)</t>
  </si>
  <si>
    <t>Специальная подпрограмма «Организация  ритуальных услуг  и содержание мест захоронения в сельских поселениях Гаврилово-Посадского муниципального района»</t>
  </si>
  <si>
    <t>Количество нарушений установленных сроков расчистки от снега дорог кладбищ в зимнее время (ед.)</t>
  </si>
  <si>
    <t>Количество письменных жалоб населения на качество предоставления услуг (ед.)</t>
  </si>
  <si>
    <t>Доля благоустроенных дворовых территорий от общего количества дворовых территорий (%)</t>
  </si>
  <si>
    <t>Областной
бюджет</t>
  </si>
  <si>
    <t>Бюджеты государственных внебюджетных фондов</t>
  </si>
  <si>
    <t>От юридических и физических лиц</t>
  </si>
  <si>
    <t>Доля заключенных договоров аренды по отношению к общему количеству имущества в перечне (%)</t>
  </si>
  <si>
    <t>Ежегодное увеличение не менее чем на 10% количества объектов имущества в перечнях государственного имущества и перечнях муниципального имущества (единиц)</t>
  </si>
  <si>
    <t>Объекты государственного (муниципального) имущества казны  (единиц)</t>
  </si>
  <si>
    <t>Аналитическая подпрограмма "Имущественная поддержка субъектов малого и среднего предпринимательства"</t>
  </si>
  <si>
    <t>Общий объем поступлений в бюджет  доходов от использования имущества, находящегося в  муниципальной собственности</t>
  </si>
  <si>
    <t xml:space="preserve">Доля улиц, тротуаров площадей, находящихся на круглогодичном содержании общей площади улично-дорожной сети </t>
  </si>
  <si>
    <t>Площадь дорог и тротуаров, находящихся на зимнем содержании</t>
  </si>
  <si>
    <t>Периодичность зимней уборки дорог и тротуаров</t>
  </si>
  <si>
    <t xml:space="preserve">Площадь дорог и тротуаров, находящихся на летнем содержании </t>
  </si>
  <si>
    <t xml:space="preserve">Общая площадь мостов и путепроводов,находящихся на содержании </t>
  </si>
  <si>
    <t>Количество предписаний ГИБДД</t>
  </si>
  <si>
    <t>Общая протяженность автомобильных дорог общего пользования местного значения на территории Гаврилово- Посадского городского поселения, соответствующих нормативным требованиям к транспортно-эксплуатационным  показателям</t>
  </si>
  <si>
    <t>Ремонт автомобильной дороги общего пользования местного значения ул. Советская</t>
  </si>
  <si>
    <t xml:space="preserve">Ремонт автомобильной дороги общего пользования местного значения ул. Горького </t>
  </si>
  <si>
    <t>Ремонт автомобильной дороги общего пользования местного значения Суздальское
шоссе,</t>
  </si>
  <si>
    <t>Ремонт автомобильной дороги общего пользования местного значения ул. 3 Интернационала</t>
  </si>
  <si>
    <t>Ремонт автомобиль-ной дороги общего пользования местного значения пл. Советская</t>
  </si>
  <si>
    <t xml:space="preserve">Ремонт автомобильной дороги общего пользования местного значения ул. Урицкого </t>
  </si>
  <si>
    <t>Ремонт автомобильной дороги общего пользования местного значения пл. Базарная,</t>
  </si>
  <si>
    <t>Ремонт автомобильной дороги общего пользования местного значения ул. Розы Люксембург</t>
  </si>
  <si>
    <t>Ремонт автомобильной дороги общего пользования местного значения ул. Дзержинского,</t>
  </si>
  <si>
    <t>Ремонт автомобильной дороги общего пользования местного значения ул. Октябрьская</t>
  </si>
  <si>
    <t>Ремонт автомобильной дороги общего пользования местного значения ул. Лизы Болотиной (к железнодорожному вокзалу)</t>
  </si>
  <si>
    <t>Нанесение дорожной разметки</t>
  </si>
  <si>
    <t>Удельный вес численности населения в возрасте 5 - 18 лет, охваченного образованием, в общей численности населения в возрасте 5 - 18 лет (%)</t>
  </si>
  <si>
    <t>Охват детей  в возрасте от 1 до 7 лет дошкольным образованием (%)</t>
  </si>
  <si>
    <t>Доля учащихся, обучающихся в школах, отвечающих современным требованиям к условиям организации образовательного процесса на 80-100% (%)</t>
  </si>
  <si>
    <t>Охват детей в возрасте 5-18 лет  программами дополнительного образования (%)</t>
  </si>
  <si>
    <t>Отношение среднемесячной заработной платы педагогических работников общеобразовательных организаций к среднемесячной заработной плате в Ивановской области (%)</t>
  </si>
  <si>
    <t>Кол-во районных мероприятий (конкурсов, олимпиад, фестивалей, соревнований, акций)(ед.)</t>
  </si>
  <si>
    <t>Численность участников районных мроприятий (чел.)</t>
  </si>
  <si>
    <t>Охват детей организованным отдыхом и оздоровлением (%)</t>
  </si>
  <si>
    <t>Доля детей, отдохнувших в лагерях (%)</t>
  </si>
  <si>
    <t>Охват детей, находящихся в трудной жизненной ситуации, охваченных организованным отдыхом и оздоровлением (%)</t>
  </si>
  <si>
    <t>Охват учащихся горячим питанием (%)</t>
  </si>
  <si>
    <t>Охват детей, находящихся в трудной жизненной ситуации, охваченных  горячим питанием (%)</t>
  </si>
  <si>
    <t>Количество несовершеннолетних, состоящих на различных видах про-филактического учета и склонных к совершению правонарушений и об-щественно опасных деяний, вовле-ченных в работу кружковых объеди-нений (чел.)</t>
  </si>
  <si>
    <t>Количество подростков, охваченных мероприятиями проекта (чел.)</t>
  </si>
  <si>
    <t>Количество привлеченных добро-вольцев для реализации мероприятий проекта (чел.)</t>
  </si>
  <si>
    <t>Увеличение доли молодых педагогических работников, в возрасте до 30 лет</t>
  </si>
  <si>
    <t>22/6</t>
  </si>
  <si>
    <t>63, 71%</t>
  </si>
  <si>
    <t>29, 32,6%</t>
  </si>
  <si>
    <t>Количество
газифицированных квартир
и частных домовладений (шт)</t>
  </si>
  <si>
    <t>Количество метров газопроводов,
приходящихся на 1000 человек населения (м)</t>
  </si>
  <si>
    <t>Строительство сетей газоснабжения в
Гаврилово-Посадском районе Ивановской области» (тыс. руб.)</t>
  </si>
  <si>
    <t>Разработка проектной документации
«Распределительные газопроводы по с. Скомово, с. Владычино, с. Глумово, Гаврилово-Посадского
района Ивановской области» (тыс. руб.)</t>
  </si>
  <si>
    <t>Разработка проектной документации
«Газопроводные сети в п. Петровсский Гаврилово-Посадского
района Ивановской области» (тыс. руб.)</t>
  </si>
  <si>
    <t>Субсидирование транспортного обслуживания населения (тыс.руб.)</t>
  </si>
  <si>
    <t>Развитие сети автомобильных дорог общего пользования местного значения в сельских поселениях Гаврилово-Посадского муниципального район</t>
  </si>
  <si>
    <t>Обеспечение жильем отдельных категорий
граждан (дети-сироты и дети, оставшиеся без
попечения родителей, лицам из числа детей-
сирот и детей, оставшихся без попечения родителей),
установленных законодательством (шт.)</t>
  </si>
  <si>
    <t>Уровень возмещения стоимости предоставления услуг по холодному
водоснабжению, горячему водоснабжению,
водоотведению и очистке сточных вод» (%)</t>
  </si>
  <si>
    <t xml:space="preserve">Специальная подпрограмма Социальное сопровождение несовершеннолетних и семей, состоящих на различных видах профилактического учета (инновационный социальный проект «За нами будущее!» </t>
  </si>
  <si>
    <t>1.5.</t>
  </si>
  <si>
    <t>Специальная подпрограмма «Субсидирование юридических лиц,предоставляющих услуги водоснабжения и водоотведения»</t>
  </si>
  <si>
    <t xml:space="preserve">1 </t>
  </si>
  <si>
    <t xml:space="preserve">Благоустройство территории  Гаврилово-Посадского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</si>
  <si>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</t>
  </si>
  <si>
    <t xml:space="preserve">2.2 </t>
  </si>
  <si>
    <t xml:space="preserve">10 </t>
  </si>
  <si>
    <t xml:space="preserve">15 </t>
  </si>
  <si>
    <r>
      <t>на 2020 год</t>
    </r>
    <r>
      <rPr>
        <b/>
        <sz val="13"/>
        <color theme="1"/>
        <rFont val="Times New Roman"/>
        <family val="1"/>
        <charset val="204"/>
      </rPr>
      <t>, тыс.руб.</t>
    </r>
  </si>
  <si>
    <t>Специальная подпрограмма «Пенсионное обьеспечение и выплата пенсии за выслугу лет муниципальным служащим Гаврилово-Посадского городского поселения»</t>
  </si>
  <si>
    <t>7.4</t>
  </si>
  <si>
    <t>Объем бюджетных ассигнований на 2020 год, тыс.руб.</t>
  </si>
  <si>
    <t>Специальная подпрограмма «Комплексное развитие сельских территорий»</t>
  </si>
  <si>
    <t>Прирост протяженности автомобильных
 дорог общего пользования
местного значения на территории
муниципальных образований
Ивановской области, соответствующих
нормативным требованиям к
транспортно-эксплуатационным
показателям, в результате
капитального ремонта и ремонта
автомобильных дорог (км)</t>
  </si>
  <si>
    <t>Ремонт автомобильной дороги общего пользования местного значения пер. 1 Советский,город Гаврилов Посад (км)</t>
  </si>
  <si>
    <t>Выполнениеработ
по
ремонту
тротуара по ул.Советская,
г. Гаврилов Посад (км)</t>
  </si>
  <si>
    <t>Выполнение работ
по
ремонту
тротуара по ул.
Суздальское шоссе
г. Гаврилов Посад (км)</t>
  </si>
  <si>
    <t>Наличие номерного
фонда для сдачи внаем (комнат)</t>
  </si>
  <si>
    <t>Соблюдение постоянной
температуры воздуха (%)</t>
  </si>
  <si>
    <t>Количество проинструктированных граждан</t>
  </si>
  <si>
    <t>чел. тыс.</t>
  </si>
  <si>
    <t>Количество благоустроенных  общест-венных территорий (ед.)</t>
  </si>
  <si>
    <t>Количество благоустроенных территорий в рамках поддержки местных ини-циатив (ед.)</t>
  </si>
  <si>
    <t>Специальная подпрограмма Благоустройство Городской набережной</t>
  </si>
  <si>
    <t>Количество благоустроенных территорий в рамках поддержки местных инициатив (ед.)</t>
  </si>
  <si>
    <t>Доля педагогических и руководя-щих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том числе по федеральному государственному образовательному стандарту дошкольного образования, в об-щей численности педагогических и руководящих работников муниципальных дошкольных образовательных организаций (%)</t>
  </si>
  <si>
    <t>Удельный вес численности педа-гогических работников муници-пальных дошкольных образова-тельных организаций, имеющих педагогическое образование, в общей численности педагогиче-ских работников муниципальных дошкольных образовательных организаций (%)</t>
  </si>
  <si>
    <t>Доля выпускников общеобразовательных организаций, получивших максимальный балл на основном государственном экзамене, в общей численности выпускников общеобразовательных орга-низаций, сдававших основной го-сударственный экзамен (%)</t>
  </si>
  <si>
    <t>Доля детей первой и второй групп здоровья в общей численности обучающихся в муниципальных общеобразовательных организа-циях (%)</t>
  </si>
  <si>
    <t>Охват питанием обучающихся 1-4 классов из малоимущих семей в муниципальных общеобразова-тельных организациях, (доля обучающихся 1-4 классов из малоимущих семей в муниципальных общеобразовательных организа-циях, получающих питание, в об-щей численности обучающихся 1-4 классов из малоимущих семей в муниципальных общеобразовательных организациях) (%)</t>
  </si>
  <si>
    <t>Доля педагогических работников муниципальных общеобразова-тельных организаций, получив-ших ежемесячное денежное вознаграждение за классное руководство в общей численности педагогических работников такой категории (%)</t>
  </si>
  <si>
    <t>Доля обучающихся, получающих на-чальное общее образование в муни-ципальных образовательных органи-зациях, получающих бесплатное на-чальное общее образование в муни-ципальных образовательных органи-зациях (%)</t>
  </si>
  <si>
    <t>Доля муниципальных общеобра-зовательных организаций, в которых осуществлены дополнительные мероприятия по профилактике и противодействию новой ко-ронавирусной инфекции (COVID-19), к общему количеству муниципальных общеобразовательных организаций (%)</t>
  </si>
  <si>
    <t>Удельный вес численности учащихся, участвующих в олимпиадах и конкурсах различного уровня, в общей численности учащихся  (%)</t>
  </si>
  <si>
    <t>Количество семинаров, мастер-классов проведенных для педагогов и детей (ед.)</t>
  </si>
  <si>
    <t>Специальная  подпрограмма «Обеспечение доступности полноценного (качественного) отдыха и оздоровления детей»</t>
  </si>
  <si>
    <r>
      <t>(по состоянию на 31.12.2020)</t>
    </r>
    <r>
      <rPr>
        <b/>
        <sz val="13"/>
        <color theme="1"/>
        <rFont val="Times New Roman"/>
        <family val="1"/>
        <charset val="204"/>
      </rPr>
      <t>, тыс.руб.</t>
    </r>
  </si>
  <si>
    <t>Отношение  среднемесячной заработной платы педагогических работ-ников дополнительного образования к среднемесячной заработной плате в Ивановской области  (%)</t>
  </si>
  <si>
    <t>Процент образовательных учрежде-ний, ведение бухгалтерского учета в которых осуществляется МКУ «ЦБ отдела образования» от общего ко-личества учреждений  (%)</t>
  </si>
  <si>
    <t>Отсутствие обосн-х жалоб от потребителей услуг (шт.)</t>
  </si>
  <si>
    <t>Доля педагогических работников, публикующихся в федеральных об-разовательных изданиях (%)</t>
  </si>
  <si>
    <t>Количество несовершеннолетних, состоящих на различных видах профилактического учета (чел)</t>
  </si>
  <si>
    <t>Число получателей мер социальной
поддержки по обеспечению жильем отдельных
категорий граждан, установленных
законом от 14.03.1997 №7-ОЗ
«О дополнительных гарантиях по
социальной поддержке детей-
сирот и детей, оставшихся без
попечения родителей, в Ивановской
области» (чел)</t>
  </si>
  <si>
    <t xml:space="preserve">Рекультивация городской свалки ТБО, расположенной юго-восточнее с. Закомелье всего, в т.ч.
проведение экспертизы проекта рекультивации (единиц)
</t>
  </si>
  <si>
    <t>Доля заключенных договоров аренды по отношению к общему количеству имущества в перечне муниципального имущества (%)</t>
  </si>
  <si>
    <t xml:space="preserve">18829
18792
37
</t>
  </si>
  <si>
    <t xml:space="preserve">17447
17374
73
</t>
  </si>
  <si>
    <t xml:space="preserve">621
140
481
</t>
  </si>
  <si>
    <t xml:space="preserve">322
25
284
</t>
  </si>
  <si>
    <t xml:space="preserve">222
72
150
</t>
  </si>
  <si>
    <t xml:space="preserve">95
57
38
</t>
  </si>
  <si>
    <t xml:space="preserve">50112
50069,8
42,2
</t>
  </si>
  <si>
    <t xml:space="preserve">54688,4
54612,1
76,3
</t>
  </si>
  <si>
    <t xml:space="preserve">8429
1850
6579
</t>
  </si>
  <si>
    <t xml:space="preserve">4692,5
830,1
3862,4
</t>
  </si>
  <si>
    <t xml:space="preserve">5603
1948
3655
</t>
  </si>
  <si>
    <t xml:space="preserve">4329,6
3496,3
833,3
</t>
  </si>
  <si>
    <t xml:space="preserve">30800
28108
2692
</t>
  </si>
  <si>
    <t xml:space="preserve">35071,1
33188,2
1882,9
</t>
  </si>
  <si>
    <t xml:space="preserve">2389
1728
661
</t>
  </si>
  <si>
    <t xml:space="preserve">2212,4
1539,3
673,1
</t>
  </si>
  <si>
    <t>Развитие инновационной
деятельности в АПК: Площадь зерновых культур, обработанных биологическими
средствами защиты растений
и микробиологическими
удобрениями (га)</t>
  </si>
  <si>
    <t>Ввод 
в действие распределительных газовых
сетей</t>
  </si>
  <si>
    <t xml:space="preserve">Количество разработанных проектов на объекты 
социальной и инженерной 
инфраструктуры населенных пунктов, расположенных в сельской местности (ед.)
</t>
  </si>
  <si>
    <t>Количество реализованных проектов по благоустройству сельских территорий</t>
  </si>
  <si>
    <t>Количество принятых (измененных) муниципальных правовых актов представительного органа (ед)</t>
  </si>
  <si>
    <t>Количество заседаний Совета Гаврилово-Посадского муниципального района (ед)</t>
  </si>
  <si>
    <t>Отношение объема муниципального долга консолидированного бюджета (за вычетом бюджетных кредитов) к доходам консолидированного бюджета (без учета объема безвозмездных поступлений) (%)</t>
  </si>
  <si>
    <t>Доля просроченной кредиторской задолженности консолидированного бюджета в общей сумме кредиторской задолженности (%)</t>
  </si>
  <si>
    <t>Количество муниципальных служащих получающих  муниципальную пенсию за выслугу лет (чел.)</t>
  </si>
  <si>
    <t>Кассовые расходы (по состоянию на 31.12.2020), тыс.руб.</t>
  </si>
  <si>
    <t>Удельный вес преступлений, совершаемых в общественных местах  (%)</t>
  </si>
  <si>
    <t>Удельный вес преступлений, совершаемых  в состоянии алкогольного опьянения (%)</t>
  </si>
  <si>
    <t>Организация и проведение тестирование населения по выполнению видов испытания тесто нормативов ГТО</t>
  </si>
  <si>
    <t>Доля расходов бюджета, осуществляемых в рамках муниципальных программ (без учета расходов, осуществляемых за счет субвенций из бюджетов бюджетной системы РФ)</t>
  </si>
  <si>
    <t>Количество детей, которым предоставляется двухразовое питание в лагерях дневного пребывания в каникулярное время за счет средств субсидии бюджетам муниципальных районов и городских округов Ивановской 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(чел)</t>
  </si>
  <si>
    <t>Доля выпускников общеобразовательных организаций, успешно сдавших единый государственный экзамен (далее - ЕГЭ) по русскому языку и математике, в общей численности выпускников общеобразовательных организаций, сдававших ЕГЭ по данным предметам (%)</t>
  </si>
  <si>
    <t>Охват населения информацией о работе с несовершеннолетними, состоящими на различных видах профилактического учета и склонных к совершению правонарушений и общественно опасных деяний (чел.)</t>
  </si>
  <si>
    <t xml:space="preserve">Организация нормативного обращения с ртутьсодержащими отходами бюджетными организациями (22 организации) 
Функционирование 6-ти пунктов приема ртутьсодержащих отходов от населения (количество видов работ – ед.)
</t>
  </si>
  <si>
    <t>Создание объектов озеленения школами района в рамках конкурса «Проекты озеленения с элементами благоустройства населенных пунктов, их реализация» (единиц) не менее</t>
  </si>
  <si>
    <t>Создание цветников (клумб) на муниципальных землях в рамках конкурса клумб «Гаврилово-Посадский район в цвету»  (единиц клумб) не менее</t>
  </si>
  <si>
    <t>Проведение конкурса детских рисунков «Экология глазами детей» (количество детей-участников) не менее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</si>
  <si>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(кв.м.)</t>
  </si>
  <si>
    <t>Количество благоустроенных  общественных территорий на 01.10.2021 года (ед.)</t>
  </si>
  <si>
    <t>Процент готовности объекта строительства (СПРАВОЧНО)</t>
  </si>
  <si>
    <t>Количество благоустроенных  общественных территорий на 01.10.2021 года(ед.)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</si>
</sst>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₽_-;\-* #,##0.00\ _₽_-;_-* &quot;-&quot;??\ _₽_-;_-@_-"/>
    <numFmt numFmtId="165" formatCode="_-* #,##0.0\ _₽_-;\-* #,##0.0\ _₽_-;_-* &quot;-&quot;?\ _₽_-;_-@_-"/>
    <numFmt numFmtId="166" formatCode="_-* #,##0.000\ _₽_-;\-* #,##0.000\ _₽_-;_-* &quot;-&quot;???\ _₽_-;_-@_-"/>
    <numFmt numFmtId="167" formatCode="_-* #,##0.00000\ _₽_-;\-* #,##0.00000\ _₽_-;_-* &quot;-&quot;?????\ _₽_-;_-@_-"/>
    <numFmt numFmtId="168" formatCode="#,##0.000_ ;\-#,##0.000\ "/>
    <numFmt numFmtId="169" formatCode="#,##0.000"/>
    <numFmt numFmtId="170" formatCode="#,##0.0000_ ;\-#,##0.0000\ "/>
    <numFmt numFmtId="171" formatCode="_-* #,##0.0000\ _₽_-;\-* #,##0.0000\ _₽_-;_-* &quot;-&quot;????\ _₽_-;_-@_-"/>
    <numFmt numFmtId="172" formatCode="#,##0.00000_ ;\-#,##0.00000\ "/>
    <numFmt numFmtId="173" formatCode="#,##0.00_ ;\-#,##0.00\ "/>
    <numFmt numFmtId="174" formatCode="0.000"/>
    <numFmt numFmtId="175" formatCode="0.00000"/>
    <numFmt numFmtId="176" formatCode="0_ ;\-0\ "/>
    <numFmt numFmtId="177" formatCode="#,##0_ ;\-#,##0\ "/>
    <numFmt numFmtId="178" formatCode="#,##0.00000"/>
    <numFmt numFmtId="179" formatCode="#,##0.0000"/>
    <numFmt numFmtId="180" formatCode="0.000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Arial Black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/>
    <xf numFmtId="49" fontId="2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166" fontId="5" fillId="2" borderId="10" xfId="0" applyNumberFormat="1" applyFont="1" applyFill="1" applyBorder="1" applyAlignment="1" applyProtection="1">
      <alignment horizontal="center" wrapText="1"/>
      <protection locked="0"/>
    </xf>
    <xf numFmtId="166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7" borderId="15" xfId="0" applyFont="1" applyFill="1" applyBorder="1" applyAlignment="1" applyProtection="1">
      <alignment horizontal="center" vertical="top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top" wrapText="1"/>
      <protection locked="0"/>
    </xf>
    <xf numFmtId="164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164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0" fillId="5" borderId="2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/>
    </xf>
    <xf numFmtId="164" fontId="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top" wrapText="1"/>
      <protection locked="0"/>
    </xf>
    <xf numFmtId="0" fontId="7" fillId="7" borderId="33" xfId="0" applyFont="1" applyFill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166" fontId="5" fillId="0" borderId="24" xfId="0" applyNumberFormat="1" applyFont="1" applyBorder="1" applyAlignment="1" applyProtection="1">
      <alignment horizontal="center" vertical="top" wrapText="1"/>
      <protection locked="0"/>
    </xf>
    <xf numFmtId="0" fontId="7" fillId="9" borderId="24" xfId="0" applyFont="1" applyFill="1" applyBorder="1" applyAlignment="1" applyProtection="1">
      <alignment horizontal="center" vertical="top" wrapText="1"/>
      <protection locked="0"/>
    </xf>
    <xf numFmtId="0" fontId="0" fillId="9" borderId="24" xfId="0" applyFill="1" applyBorder="1" applyAlignment="1">
      <alignment horizontal="center" vertical="center"/>
    </xf>
    <xf numFmtId="166" fontId="5" fillId="9" borderId="24" xfId="0" applyNumberFormat="1" applyFont="1" applyFill="1" applyBorder="1" applyAlignment="1" applyProtection="1">
      <alignment horizontal="center" vertical="top" wrapText="1"/>
      <protection locked="0"/>
    </xf>
    <xf numFmtId="164" fontId="3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39" xfId="0" applyFont="1" applyFill="1" applyBorder="1" applyAlignment="1" applyProtection="1">
      <alignment horizontal="center" vertical="top" wrapText="1"/>
      <protection locked="0"/>
    </xf>
    <xf numFmtId="166" fontId="5" fillId="9" borderId="39" xfId="0" applyNumberFormat="1" applyFont="1" applyFill="1" applyBorder="1" applyAlignment="1" applyProtection="1">
      <alignment horizontal="center" vertical="top" wrapText="1"/>
      <protection locked="0"/>
    </xf>
    <xf numFmtId="164" fontId="3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 applyProtection="1">
      <alignment horizontal="center" vertical="top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3" fillId="9" borderId="19" xfId="0" applyFont="1" applyFill="1" applyBorder="1" applyAlignment="1" applyProtection="1">
      <alignment horizontal="center" vertical="top" wrapText="1"/>
      <protection locked="0"/>
    </xf>
    <xf numFmtId="0" fontId="4" fillId="10" borderId="0" xfId="0" applyFont="1" applyFill="1"/>
    <xf numFmtId="0" fontId="0" fillId="10" borderId="0" xfId="0" applyFill="1"/>
    <xf numFmtId="0" fontId="7" fillId="9" borderId="28" xfId="0" applyFont="1" applyFill="1" applyBorder="1" applyAlignment="1" applyProtection="1">
      <alignment horizontal="center" vertical="top" wrapText="1"/>
      <protection locked="0"/>
    </xf>
    <xf numFmtId="164" fontId="5" fillId="9" borderId="24" xfId="0" applyNumberFormat="1" applyFont="1" applyFill="1" applyBorder="1" applyAlignment="1" applyProtection="1">
      <alignment horizontal="center" vertical="top" wrapText="1"/>
      <protection locked="0"/>
    </xf>
    <xf numFmtId="0" fontId="6" fillId="8" borderId="54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5" fillId="10" borderId="28" xfId="0" applyFont="1" applyFill="1" applyBorder="1" applyAlignment="1" applyProtection="1">
      <alignment horizontal="center" vertical="top" wrapText="1"/>
      <protection locked="0"/>
    </xf>
    <xf numFmtId="0" fontId="7" fillId="10" borderId="28" xfId="0" applyFont="1" applyFill="1" applyBorder="1" applyAlignment="1" applyProtection="1">
      <alignment horizontal="center" vertical="top" wrapText="1"/>
      <protection locked="0"/>
    </xf>
    <xf numFmtId="0" fontId="5" fillId="10" borderId="24" xfId="0" applyFont="1" applyFill="1" applyBorder="1" applyAlignment="1" applyProtection="1">
      <alignment horizontal="center" vertical="top" wrapText="1"/>
      <protection locked="0"/>
    </xf>
    <xf numFmtId="0" fontId="7" fillId="10" borderId="24" xfId="0" applyFont="1" applyFill="1" applyBorder="1" applyAlignment="1" applyProtection="1">
      <alignment horizontal="center" vertical="top" wrapText="1"/>
      <protection locked="0"/>
    </xf>
    <xf numFmtId="0" fontId="7" fillId="10" borderId="39" xfId="0" applyFont="1" applyFill="1" applyBorder="1" applyAlignment="1" applyProtection="1">
      <alignment horizontal="center" vertical="top" wrapText="1"/>
      <protection locked="0"/>
    </xf>
    <xf numFmtId="0" fontId="2" fillId="7" borderId="33" xfId="0" applyFont="1" applyFill="1" applyBorder="1" applyAlignment="1" applyProtection="1">
      <alignment horizontal="center" vertical="top" wrapText="1"/>
      <protection locked="0"/>
    </xf>
    <xf numFmtId="166" fontId="5" fillId="0" borderId="39" xfId="0" applyNumberFormat="1" applyFont="1" applyBorder="1" applyAlignment="1" applyProtection="1">
      <alignment horizontal="center" vertical="top" wrapText="1"/>
      <protection locked="0"/>
    </xf>
    <xf numFmtId="0" fontId="3" fillId="7" borderId="44" xfId="0" applyFont="1" applyFill="1" applyBorder="1" applyAlignment="1" applyProtection="1">
      <alignment horizontal="center" vertical="top" wrapText="1"/>
      <protection locked="0"/>
    </xf>
    <xf numFmtId="166" fontId="2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66" fontId="5" fillId="0" borderId="24" xfId="0" applyNumberFormat="1" applyFont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5" fillId="9" borderId="24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3" fillId="7" borderId="15" xfId="0" applyFont="1" applyFill="1" applyBorder="1" applyAlignment="1" applyProtection="1">
      <alignment horizontal="center" vertical="center" wrapText="1"/>
      <protection locked="0"/>
    </xf>
    <xf numFmtId="0" fontId="3" fillId="7" borderId="43" xfId="0" applyFont="1" applyFill="1" applyBorder="1" applyAlignment="1" applyProtection="1">
      <alignment horizontal="center" vertical="top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5" fillId="10" borderId="28" xfId="0" applyFont="1" applyFill="1" applyBorder="1" applyAlignment="1" applyProtection="1">
      <alignment horizontal="center" vertical="center" wrapText="1"/>
      <protection locked="0"/>
    </xf>
    <xf numFmtId="0" fontId="5" fillId="10" borderId="24" xfId="0" applyFont="1" applyFill="1" applyBorder="1" applyAlignment="1" applyProtection="1">
      <alignment horizontal="center" vertical="center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Border="1" applyAlignment="1" applyProtection="1">
      <alignment horizontal="center" vertical="top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4" fillId="10" borderId="21" xfId="0" applyFont="1" applyFill="1" applyBorder="1" applyAlignment="1">
      <alignment horizontal="center" vertical="center"/>
    </xf>
    <xf numFmtId="0" fontId="3" fillId="9" borderId="39" xfId="0" applyFont="1" applyFill="1" applyBorder="1" applyAlignment="1" applyProtection="1">
      <alignment horizontal="center" vertical="top" wrapText="1"/>
      <protection locked="0"/>
    </xf>
    <xf numFmtId="166" fontId="7" fillId="9" borderId="39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39" xfId="0" applyNumberFormat="1" applyFont="1" applyFill="1" applyBorder="1" applyAlignment="1" applyProtection="1">
      <alignment horizontal="center" vertical="top" wrapText="1"/>
      <protection locked="0"/>
    </xf>
    <xf numFmtId="0" fontId="7" fillId="10" borderId="45" xfId="0" applyFont="1" applyFill="1" applyBorder="1" applyAlignment="1" applyProtection="1">
      <alignment horizontal="center" vertical="top" wrapText="1"/>
      <protection locked="0"/>
    </xf>
    <xf numFmtId="0" fontId="7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24" xfId="0" applyFont="1" applyFill="1" applyBorder="1" applyAlignment="1" applyProtection="1">
      <alignment horizontal="center" vertical="center" wrapText="1"/>
      <protection locked="0"/>
    </xf>
    <xf numFmtId="0" fontId="7" fillId="10" borderId="58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59" xfId="0" applyNumberFormat="1" applyFont="1" applyFill="1" applyBorder="1" applyAlignment="1" applyProtection="1">
      <alignment vertical="center" wrapText="1"/>
      <protection locked="0"/>
    </xf>
    <xf numFmtId="166" fontId="7" fillId="5" borderId="58" xfId="0" applyNumberFormat="1" applyFont="1" applyFill="1" applyBorder="1" applyAlignment="1" applyProtection="1">
      <alignment vertical="center" wrapText="1"/>
      <protection locked="0"/>
    </xf>
    <xf numFmtId="0" fontId="7" fillId="10" borderId="33" xfId="0" applyFont="1" applyFill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5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24" xfId="0" applyBorder="1" applyProtection="1">
      <protection locked="0"/>
    </xf>
    <xf numFmtId="49" fontId="5" fillId="10" borderId="0" xfId="0" applyNumberFormat="1" applyFont="1" applyFill="1" applyBorder="1" applyAlignment="1" applyProtection="1">
      <alignment horizontal="center" vertical="top" wrapText="1"/>
      <protection locked="0"/>
    </xf>
    <xf numFmtId="0" fontId="7" fillId="10" borderId="0" xfId="0" applyFont="1" applyFill="1" applyBorder="1" applyAlignment="1" applyProtection="1">
      <alignment horizontal="center" vertical="top" wrapText="1"/>
      <protection locked="0"/>
    </xf>
    <xf numFmtId="166" fontId="12" fillId="1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Protection="1">
      <protection locked="0"/>
    </xf>
    <xf numFmtId="166" fontId="0" fillId="0" borderId="0" xfId="0" applyNumberFormat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170" fontId="3" fillId="7" borderId="1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171" fontId="3" fillId="7" borderId="24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" borderId="24" xfId="0" applyNumberFormat="1" applyFont="1" applyFill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horizontal="center" vertical="center" wrapText="1"/>
    </xf>
    <xf numFmtId="0" fontId="0" fillId="3" borderId="34" xfId="0" applyNumberForma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3" fillId="5" borderId="28" xfId="0" applyNumberFormat="1" applyFont="1" applyFill="1" applyBorder="1" applyAlignment="1">
      <alignment horizontal="center" vertical="center" wrapText="1"/>
    </xf>
    <xf numFmtId="0" fontId="5" fillId="5" borderId="28" xfId="0" applyNumberFormat="1" applyFont="1" applyFill="1" applyBorder="1" applyAlignment="1">
      <alignment horizontal="center" vertical="center" wrapText="1"/>
    </xf>
    <xf numFmtId="0" fontId="0" fillId="3" borderId="76" xfId="0" applyNumberForma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3" fillId="5" borderId="39" xfId="0" applyNumberFormat="1" applyFont="1" applyFill="1" applyBorder="1" applyAlignment="1">
      <alignment horizontal="center" vertical="center" wrapText="1"/>
    </xf>
    <xf numFmtId="0" fontId="5" fillId="5" borderId="39" xfId="0" applyNumberFormat="1" applyFont="1" applyFill="1" applyBorder="1" applyAlignment="1">
      <alignment horizontal="center" vertical="center" wrapText="1"/>
    </xf>
    <xf numFmtId="0" fontId="0" fillId="3" borderId="79" xfId="0" applyNumberForma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5" borderId="24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5" borderId="24" xfId="0" applyNumberFormat="1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vertical="center" wrapText="1"/>
    </xf>
    <xf numFmtId="0" fontId="5" fillId="9" borderId="63" xfId="0" applyFont="1" applyFill="1" applyBorder="1" applyAlignment="1">
      <alignment vertical="center" wrapText="1"/>
    </xf>
    <xf numFmtId="0" fontId="5" fillId="9" borderId="48" xfId="0" applyFont="1" applyFill="1" applyBorder="1" applyAlignment="1">
      <alignment vertical="center" wrapText="1"/>
    </xf>
    <xf numFmtId="0" fontId="5" fillId="9" borderId="54" xfId="0" applyFont="1" applyFill="1" applyBorder="1" applyAlignment="1">
      <alignment vertical="center" wrapText="1"/>
    </xf>
    <xf numFmtId="0" fontId="7" fillId="9" borderId="39" xfId="0" applyFont="1" applyFill="1" applyBorder="1" applyAlignment="1">
      <alignment horizontal="center" vertical="center" wrapText="1"/>
    </xf>
    <xf numFmtId="164" fontId="7" fillId="3" borderId="39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5" borderId="39" xfId="0" applyNumberFormat="1" applyFont="1" applyFill="1" applyBorder="1" applyAlignment="1">
      <alignment horizontal="center" vertical="center" wrapText="1"/>
    </xf>
    <xf numFmtId="0" fontId="0" fillId="3" borderId="51" xfId="0" applyNumberFormat="1" applyFill="1" applyBorder="1" applyAlignment="1">
      <alignment horizontal="center" vertical="center"/>
    </xf>
    <xf numFmtId="0" fontId="0" fillId="3" borderId="45" xfId="0" applyNumberForma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 wrapText="1"/>
    </xf>
    <xf numFmtId="164" fontId="7" fillId="10" borderId="28" xfId="0" applyNumberFormat="1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 wrapText="1"/>
    </xf>
    <xf numFmtId="164" fontId="7" fillId="10" borderId="24" xfId="0" applyNumberFormat="1" applyFont="1" applyFill="1" applyBorder="1" applyAlignment="1">
      <alignment horizontal="center" vertical="center"/>
    </xf>
    <xf numFmtId="173" fontId="7" fillId="10" borderId="24" xfId="0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/>
    </xf>
    <xf numFmtId="164" fontId="7" fillId="10" borderId="24" xfId="0" applyNumberFormat="1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0" fillId="3" borderId="24" xfId="0" applyNumberForma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 wrapText="1"/>
    </xf>
    <xf numFmtId="173" fontId="3" fillId="3" borderId="24" xfId="0" applyNumberFormat="1" applyFont="1" applyFill="1" applyBorder="1" applyAlignment="1">
      <alignment horizontal="center" vertical="center" wrapText="1"/>
    </xf>
    <xf numFmtId="167" fontId="3" fillId="7" borderId="15" xfId="0" applyNumberFormat="1" applyFont="1" applyFill="1" applyBorder="1" applyAlignment="1">
      <alignment horizontal="center" vertical="center" wrapText="1"/>
    </xf>
    <xf numFmtId="167" fontId="3" fillId="7" borderId="24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6" fontId="13" fillId="7" borderId="24" xfId="0" applyNumberFormat="1" applyFont="1" applyFill="1" applyBorder="1" applyAlignment="1">
      <alignment horizontal="center" vertical="center"/>
    </xf>
    <xf numFmtId="166" fontId="13" fillId="7" borderId="15" xfId="0" applyNumberFormat="1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 wrapText="1"/>
    </xf>
    <xf numFmtId="173" fontId="3" fillId="4" borderId="15" xfId="0" applyNumberFormat="1" applyFont="1" applyFill="1" applyBorder="1" applyAlignment="1">
      <alignment horizontal="center" vertical="center" wrapText="1"/>
    </xf>
    <xf numFmtId="174" fontId="3" fillId="7" borderId="24" xfId="0" applyNumberFormat="1" applyFont="1" applyFill="1" applyBorder="1" applyAlignment="1">
      <alignment horizontal="center" vertical="center" wrapText="1"/>
    </xf>
    <xf numFmtId="174" fontId="3" fillId="7" borderId="33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3" xfId="0" applyNumberFormat="1" applyFont="1" applyFill="1" applyBorder="1" applyAlignment="1">
      <alignment horizontal="center" vertical="center" wrapText="1"/>
    </xf>
    <xf numFmtId="174" fontId="5" fillId="0" borderId="28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horizontal="center" vertical="center" wrapText="1"/>
    </xf>
    <xf numFmtId="174" fontId="5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7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173" fontId="3" fillId="3" borderId="24" xfId="0" applyNumberFormat="1" applyFont="1" applyFill="1" applyBorder="1" applyAlignment="1">
      <alignment horizontal="right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5" borderId="28" xfId="0" applyNumberFormat="1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 wrapText="1"/>
    </xf>
    <xf numFmtId="0" fontId="2" fillId="5" borderId="33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6" borderId="24" xfId="0" applyNumberFormat="1" applyFill="1" applyBorder="1" applyAlignment="1" applyProtection="1">
      <alignment horizontal="center" vertical="center"/>
      <protection locked="0"/>
    </xf>
    <xf numFmtId="166" fontId="0" fillId="0" borderId="24" xfId="0" applyNumberFormat="1" applyBorder="1" applyAlignment="1" applyProtection="1">
      <alignment horizontal="center" vertical="center"/>
      <protection locked="0"/>
    </xf>
    <xf numFmtId="166" fontId="0" fillId="0" borderId="24" xfId="0" applyNumberFormat="1" applyBorder="1" applyProtection="1">
      <protection locked="0"/>
    </xf>
    <xf numFmtId="175" fontId="5" fillId="0" borderId="24" xfId="0" applyNumberFormat="1" applyFont="1" applyBorder="1" applyAlignment="1">
      <alignment horizontal="center" vertical="center" wrapText="1"/>
    </xf>
    <xf numFmtId="175" fontId="3" fillId="7" borderId="24" xfId="0" applyNumberFormat="1" applyFont="1" applyFill="1" applyBorder="1" applyAlignment="1">
      <alignment horizontal="center" vertical="center" wrapText="1"/>
    </xf>
    <xf numFmtId="0" fontId="3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>
      <alignment horizontal="center" vertical="center" wrapText="1"/>
    </xf>
    <xf numFmtId="173" fontId="5" fillId="0" borderId="39" xfId="0" applyNumberFormat="1" applyFont="1" applyBorder="1" applyAlignment="1">
      <alignment horizontal="center" vertical="center" wrapText="1"/>
    </xf>
    <xf numFmtId="173" fontId="3" fillId="7" borderId="33" xfId="0" applyNumberFormat="1" applyFont="1" applyFill="1" applyBorder="1" applyAlignment="1">
      <alignment horizontal="center" vertical="center" wrapText="1"/>
    </xf>
    <xf numFmtId="175" fontId="5" fillId="10" borderId="24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172" fontId="3" fillId="7" borderId="15" xfId="0" applyNumberFormat="1" applyFont="1" applyFill="1" applyBorder="1" applyAlignment="1" applyProtection="1">
      <alignment horizontal="center" vertical="top" wrapText="1"/>
      <protection locked="0"/>
    </xf>
    <xf numFmtId="172" fontId="3" fillId="7" borderId="33" xfId="0" applyNumberFormat="1" applyFont="1" applyFill="1" applyBorder="1" applyAlignment="1" applyProtection="1">
      <alignment horizontal="center" vertical="top" wrapText="1"/>
      <protection locked="0"/>
    </xf>
    <xf numFmtId="0" fontId="3" fillId="9" borderId="32" xfId="0" applyFont="1" applyFill="1" applyBorder="1" applyAlignment="1" applyProtection="1">
      <alignment horizontal="center" vertical="top" wrapText="1"/>
      <protection locked="0"/>
    </xf>
    <xf numFmtId="0" fontId="4" fillId="10" borderId="2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8" borderId="24" xfId="0" applyFont="1" applyFill="1" applyBorder="1" applyAlignment="1">
      <alignment horizontal="center" vertical="center"/>
    </xf>
    <xf numFmtId="0" fontId="4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0" fontId="3" fillId="10" borderId="0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176" fontId="3" fillId="5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59" xfId="0" applyFont="1" applyFill="1" applyBorder="1" applyAlignment="1">
      <alignment horizontal="center" vertical="center"/>
    </xf>
    <xf numFmtId="0" fontId="6" fillId="8" borderId="71" xfId="0" applyFont="1" applyFill="1" applyBorder="1" applyAlignment="1">
      <alignment horizontal="center" vertical="center"/>
    </xf>
    <xf numFmtId="176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8" xfId="0" applyNumberFormat="1" applyFont="1" applyBorder="1" applyAlignment="1" applyProtection="1">
      <alignment horizontal="center" vertical="center"/>
      <protection locked="0"/>
    </xf>
    <xf numFmtId="4" fontId="7" fillId="0" borderId="24" xfId="0" applyNumberFormat="1" applyFont="1" applyBorder="1" applyAlignment="1" applyProtection="1">
      <alignment horizontal="center" vertical="center"/>
      <protection locked="0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7" fillId="0" borderId="24" xfId="0" applyNumberFormat="1" applyFont="1" applyBorder="1" applyAlignment="1" applyProtection="1">
      <alignment horizontal="center" vertical="center" wrapText="1"/>
      <protection locked="0"/>
    </xf>
    <xf numFmtId="177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4" xfId="0" applyNumberFormat="1" applyFont="1" applyFill="1" applyBorder="1" applyAlignment="1">
      <alignment horizontal="center" vertical="center" wrapText="1"/>
    </xf>
    <xf numFmtId="0" fontId="5" fillId="9" borderId="24" xfId="0" applyNumberFormat="1" applyFont="1" applyFill="1" applyBorder="1" applyAlignment="1">
      <alignment horizontal="center" vertical="center" wrapText="1"/>
    </xf>
    <xf numFmtId="0" fontId="0" fillId="9" borderId="25" xfId="0" applyNumberFormat="1" applyFill="1" applyBorder="1" applyAlignment="1">
      <alignment horizontal="center" vertical="center"/>
    </xf>
    <xf numFmtId="164" fontId="3" fillId="9" borderId="24" xfId="0" applyNumberFormat="1" applyFont="1" applyFill="1" applyBorder="1" applyAlignment="1">
      <alignment horizontal="center" vertical="center" wrapText="1"/>
    </xf>
    <xf numFmtId="164" fontId="5" fillId="9" borderId="24" xfId="0" applyNumberFormat="1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/>
    </xf>
    <xf numFmtId="0" fontId="24" fillId="7" borderId="33" xfId="0" applyFont="1" applyFill="1" applyBorder="1" applyAlignment="1">
      <alignment horizontal="center" vertical="center" wrapText="1"/>
    </xf>
    <xf numFmtId="0" fontId="23" fillId="8" borderId="89" xfId="0" applyFont="1" applyFill="1" applyBorder="1" applyAlignment="1">
      <alignment horizontal="center" vertical="center" wrapText="1"/>
    </xf>
    <xf numFmtId="0" fontId="23" fillId="8" borderId="9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8" borderId="91" xfId="0" applyFont="1" applyFill="1" applyBorder="1" applyAlignment="1">
      <alignment horizontal="center" vertical="center" wrapText="1"/>
    </xf>
    <xf numFmtId="0" fontId="23" fillId="8" borderId="92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3" fillId="8" borderId="56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2" fillId="8" borderId="47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77" xfId="0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 wrapText="1"/>
    </xf>
    <xf numFmtId="0" fontId="22" fillId="0" borderId="0" xfId="0" applyFont="1"/>
    <xf numFmtId="0" fontId="23" fillId="8" borderId="12" xfId="0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59" xfId="0" applyFont="1" applyFill="1" applyBorder="1" applyAlignment="1">
      <alignment horizontal="center" vertical="center"/>
    </xf>
    <xf numFmtId="0" fontId="23" fillId="8" borderId="71" xfId="0" applyFont="1" applyFill="1" applyBorder="1" applyAlignment="1">
      <alignment horizontal="center" vertical="center"/>
    </xf>
    <xf numFmtId="0" fontId="23" fillId="10" borderId="59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4" xfId="0" applyFont="1" applyFill="1" applyBorder="1"/>
    <xf numFmtId="0" fontId="22" fillId="0" borderId="0" xfId="0" applyFont="1" applyBorder="1"/>
    <xf numFmtId="0" fontId="23" fillId="8" borderId="18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center" vertical="center"/>
    </xf>
    <xf numFmtId="0" fontId="22" fillId="10" borderId="0" xfId="0" applyFont="1" applyFill="1"/>
    <xf numFmtId="0" fontId="22" fillId="0" borderId="0" xfId="0" applyFont="1" applyBorder="1" applyAlignment="1">
      <alignment horizontal="center" vertical="center"/>
    </xf>
    <xf numFmtId="0" fontId="23" fillId="8" borderId="54" xfId="0" applyFont="1" applyFill="1" applyBorder="1" applyAlignment="1">
      <alignment horizontal="center" vertical="center" wrapText="1"/>
    </xf>
    <xf numFmtId="0" fontId="23" fillId="8" borderId="54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68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3" fillId="8" borderId="7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8" borderId="12" xfId="0" applyFont="1" applyFill="1" applyBorder="1" applyAlignment="1">
      <alignment horizontal="center" vertical="center" wrapText="1"/>
    </xf>
    <xf numFmtId="0" fontId="23" fillId="8" borderId="62" xfId="0" applyFont="1" applyFill="1" applyBorder="1" applyAlignment="1">
      <alignment horizontal="center" vertical="center" wrapText="1"/>
    </xf>
    <xf numFmtId="0" fontId="22" fillId="8" borderId="70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 wrapText="1"/>
    </xf>
    <xf numFmtId="0" fontId="22" fillId="8" borderId="54" xfId="0" applyFont="1" applyFill="1" applyBorder="1" applyAlignment="1">
      <alignment horizontal="center" vertical="center" wrapText="1"/>
    </xf>
    <xf numFmtId="0" fontId="23" fillId="8" borderId="49" xfId="0" applyFont="1" applyFill="1" applyBorder="1" applyAlignment="1">
      <alignment horizontal="center" vertical="center" wrapText="1"/>
    </xf>
    <xf numFmtId="0" fontId="23" fillId="8" borderId="68" xfId="0" applyFont="1" applyFill="1" applyBorder="1" applyAlignment="1">
      <alignment horizontal="center" vertical="center" wrapText="1"/>
    </xf>
    <xf numFmtId="0" fontId="23" fillId="8" borderId="83" xfId="0" applyFont="1" applyFill="1" applyBorder="1" applyAlignment="1">
      <alignment horizontal="center" vertical="center"/>
    </xf>
    <xf numFmtId="0" fontId="23" fillId="8" borderId="84" xfId="0" applyFont="1" applyFill="1" applyBorder="1" applyAlignment="1">
      <alignment horizontal="center" vertical="center"/>
    </xf>
    <xf numFmtId="164" fontId="22" fillId="10" borderId="0" xfId="0" applyNumberFormat="1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/>
    </xf>
    <xf numFmtId="0" fontId="23" fillId="8" borderId="65" xfId="0" applyFont="1" applyFill="1" applyBorder="1" applyAlignment="1">
      <alignment horizontal="center" vertical="center" wrapText="1"/>
    </xf>
    <xf numFmtId="0" fontId="23" fillId="8" borderId="65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 wrapText="1"/>
    </xf>
    <xf numFmtId="0" fontId="23" fillId="8" borderId="93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 wrapText="1"/>
    </xf>
    <xf numFmtId="0" fontId="23" fillId="8" borderId="83" xfId="0" applyFont="1" applyFill="1" applyBorder="1" applyAlignment="1">
      <alignment horizontal="center" vertical="center" wrapText="1"/>
    </xf>
    <xf numFmtId="0" fontId="23" fillId="8" borderId="94" xfId="0" applyFont="1" applyFill="1" applyBorder="1" applyAlignment="1">
      <alignment horizontal="center" vertical="center"/>
    </xf>
    <xf numFmtId="0" fontId="22" fillId="8" borderId="65" xfId="0" applyFont="1" applyFill="1" applyBorder="1" applyAlignment="1">
      <alignment horizontal="center" vertical="center" wrapText="1"/>
    </xf>
    <xf numFmtId="0" fontId="22" fillId="11" borderId="0" xfId="0" applyFont="1" applyFill="1" applyBorder="1"/>
    <xf numFmtId="0" fontId="23" fillId="10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23" fillId="8" borderId="56" xfId="0" applyFont="1" applyFill="1" applyBorder="1" applyAlignment="1">
      <alignment horizontal="center" vertical="center"/>
    </xf>
    <xf numFmtId="0" fontId="22" fillId="8" borderId="93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/>
    </xf>
    <xf numFmtId="0" fontId="23" fillId="8" borderId="8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7" fillId="9" borderId="24" xfId="0" applyFont="1" applyFill="1" applyBorder="1" applyAlignment="1" applyProtection="1">
      <alignment horizontal="center" vertical="top" wrapText="1"/>
      <protection locked="0"/>
    </xf>
    <xf numFmtId="0" fontId="5" fillId="9" borderId="24" xfId="0" applyFont="1" applyFill="1" applyBorder="1" applyAlignment="1" applyProtection="1">
      <alignment horizontal="center" vertical="top" wrapText="1"/>
      <protection locked="0"/>
    </xf>
    <xf numFmtId="0" fontId="4" fillId="10" borderId="0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>
      <alignment horizontal="center" vertical="top" wrapText="1"/>
    </xf>
    <xf numFmtId="0" fontId="6" fillId="8" borderId="81" xfId="0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 wrapText="1"/>
      <protection locked="0"/>
    </xf>
    <xf numFmtId="0" fontId="0" fillId="9" borderId="39" xfId="0" applyFill="1" applyBorder="1" applyAlignment="1">
      <alignment horizontal="center" vertical="center"/>
    </xf>
    <xf numFmtId="0" fontId="0" fillId="3" borderId="95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21" fillId="8" borderId="86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0" fontId="21" fillId="8" borderId="74" xfId="0" applyFont="1" applyFill="1" applyBorder="1" applyAlignment="1">
      <alignment horizontal="center" vertical="center" wrapText="1"/>
    </xf>
    <xf numFmtId="0" fontId="21" fillId="8" borderId="49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 applyProtection="1">
      <alignment horizontal="center" vertical="center" wrapText="1"/>
      <protection locked="0"/>
    </xf>
    <xf numFmtId="0" fontId="0" fillId="9" borderId="45" xfId="0" applyFill="1" applyBorder="1" applyAlignment="1">
      <alignment horizontal="center" vertical="center"/>
    </xf>
    <xf numFmtId="0" fontId="7" fillId="9" borderId="39" xfId="0" applyFont="1" applyFill="1" applyBorder="1" applyAlignment="1" applyProtection="1">
      <alignment horizontal="center" vertical="center" wrapText="1"/>
      <protection locked="0"/>
    </xf>
    <xf numFmtId="0" fontId="0" fillId="10" borderId="24" xfId="0" applyFill="1" applyBorder="1" applyAlignment="1">
      <alignment horizontal="center" vertical="center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0" fillId="5" borderId="53" xfId="0" applyFill="1" applyBorder="1" applyAlignment="1">
      <alignment horizontal="center" vertical="center"/>
    </xf>
    <xf numFmtId="2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24" xfId="0" applyFont="1" applyFill="1" applyBorder="1" applyAlignment="1" applyProtection="1">
      <alignment horizontal="center" vertical="center" wrapText="1"/>
      <protection locked="0"/>
    </xf>
    <xf numFmtId="0" fontId="0" fillId="9" borderId="5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9" borderId="82" xfId="0" applyFill="1" applyBorder="1" applyAlignment="1">
      <alignment horizontal="center" vertical="center"/>
    </xf>
    <xf numFmtId="0" fontId="6" fillId="8" borderId="60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86" xfId="0" applyFont="1" applyFill="1" applyBorder="1" applyAlignment="1">
      <alignment horizontal="center" vertical="center" wrapText="1"/>
    </xf>
    <xf numFmtId="0" fontId="6" fillId="8" borderId="74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 wrapText="1"/>
    </xf>
    <xf numFmtId="0" fontId="4" fillId="8" borderId="57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73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168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5" xfId="0" applyNumberFormat="1" applyFont="1" applyFill="1" applyBorder="1" applyAlignment="1">
      <alignment horizontal="center" vertical="center" wrapText="1"/>
    </xf>
    <xf numFmtId="176" fontId="3" fillId="4" borderId="15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10" borderId="76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 wrapText="1"/>
    </xf>
    <xf numFmtId="176" fontId="7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24" xfId="0" applyFont="1" applyFill="1" applyBorder="1" applyAlignment="1">
      <alignment horizontal="center" vertical="center" wrapText="1"/>
    </xf>
    <xf numFmtId="0" fontId="23" fillId="8" borderId="52" xfId="0" applyFont="1" applyFill="1" applyBorder="1" applyAlignment="1">
      <alignment horizontal="center" vertical="center" wrapText="1"/>
    </xf>
    <xf numFmtId="0" fontId="23" fillId="10" borderId="60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0" fillId="5" borderId="73" xfId="0" applyFill="1" applyBorder="1" applyAlignment="1">
      <alignment horizontal="center" vertical="center"/>
    </xf>
    <xf numFmtId="0" fontId="3" fillId="7" borderId="42" xfId="0" applyFont="1" applyFill="1" applyBorder="1" applyAlignment="1" applyProtection="1">
      <alignment horizontal="center" vertical="top" wrapText="1"/>
      <protection locked="0"/>
    </xf>
    <xf numFmtId="0" fontId="5" fillId="10" borderId="24" xfId="0" applyFont="1" applyFill="1" applyBorder="1" applyAlignment="1" applyProtection="1">
      <alignment horizontal="center" vertical="top" wrapText="1"/>
      <protection locked="0"/>
    </xf>
    <xf numFmtId="0" fontId="5" fillId="0" borderId="39" xfId="0" applyFont="1" applyBorder="1" applyAlignment="1">
      <alignment horizontal="center" vertical="center" wrapText="1"/>
    </xf>
    <xf numFmtId="178" fontId="3" fillId="7" borderId="15" xfId="0" applyNumberFormat="1" applyFont="1" applyFill="1" applyBorder="1" applyAlignment="1">
      <alignment horizontal="center" vertical="center" wrapText="1"/>
    </xf>
    <xf numFmtId="4" fontId="3" fillId="7" borderId="15" xfId="0" applyNumberFormat="1" applyFont="1" applyFill="1" applyBorder="1" applyAlignment="1">
      <alignment horizontal="center" vertical="center" wrapText="1"/>
    </xf>
    <xf numFmtId="169" fontId="3" fillId="7" borderId="15" xfId="0" applyNumberFormat="1" applyFont="1" applyFill="1" applyBorder="1" applyAlignment="1">
      <alignment horizontal="center" vertical="center" wrapText="1"/>
    </xf>
    <xf numFmtId="169" fontId="3" fillId="7" borderId="24" xfId="0" applyNumberFormat="1" applyFont="1" applyFill="1" applyBorder="1" applyAlignment="1">
      <alignment horizontal="center" vertical="center" wrapText="1"/>
    </xf>
    <xf numFmtId="4" fontId="7" fillId="7" borderId="15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168" fontId="0" fillId="10" borderId="0" xfId="0" applyNumberFormat="1" applyFill="1" applyBorder="1" applyAlignment="1" applyProtection="1">
      <alignment horizontal="center" vertical="center"/>
      <protection locked="0"/>
    </xf>
    <xf numFmtId="49" fontId="9" fillId="1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>
      <alignment horizontal="center" vertical="center"/>
    </xf>
    <xf numFmtId="49" fontId="2" fillId="10" borderId="44" xfId="0" applyNumberFormat="1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166" fontId="2" fillId="10" borderId="3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  <protection locked="0"/>
    </xf>
    <xf numFmtId="0" fontId="3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4" xfId="0" applyNumberFormat="1" applyFont="1" applyFill="1" applyBorder="1" applyAlignment="1" applyProtection="1">
      <alignment horizontal="center" vertical="center"/>
      <protection locked="0"/>
    </xf>
    <xf numFmtId="0" fontId="4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7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2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24" xfId="0" applyNumberFormat="1" applyFont="1" applyFill="1" applyBorder="1" applyAlignment="1" applyProtection="1">
      <alignment horizontal="center" vertical="center"/>
      <protection locked="0"/>
    </xf>
    <xf numFmtId="0" fontId="10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33" xfId="0" applyNumberFormat="1" applyFont="1" applyFill="1" applyBorder="1" applyAlignment="1" applyProtection="1">
      <alignment horizontal="center" vertical="center"/>
      <protection locked="0"/>
    </xf>
    <xf numFmtId="0" fontId="7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79" xfId="0" applyFont="1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4" fillId="10" borderId="24" xfId="0" applyFont="1" applyFill="1" applyBorder="1"/>
    <xf numFmtId="0" fontId="4" fillId="10" borderId="25" xfId="0" applyFont="1" applyFill="1" applyBorder="1"/>
    <xf numFmtId="0" fontId="4" fillId="10" borderId="30" xfId="0" applyFont="1" applyFill="1" applyBorder="1"/>
    <xf numFmtId="0" fontId="4" fillId="10" borderId="88" xfId="0" applyFont="1" applyFill="1" applyBorder="1"/>
    <xf numFmtId="0" fontId="4" fillId="10" borderId="33" xfId="0" applyFont="1" applyFill="1" applyBorder="1"/>
    <xf numFmtId="0" fontId="4" fillId="10" borderId="33" xfId="0" applyFont="1" applyFill="1" applyBorder="1" applyAlignment="1">
      <alignment horizontal="center" vertical="center"/>
    </xf>
    <xf numFmtId="0" fontId="4" fillId="10" borderId="88" xfId="0" applyFont="1" applyFill="1" applyBorder="1" applyAlignment="1">
      <alignment horizontal="center" vertical="center"/>
    </xf>
    <xf numFmtId="0" fontId="4" fillId="10" borderId="73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0" fillId="10" borderId="24" xfId="0" applyFill="1" applyBorder="1"/>
    <xf numFmtId="0" fontId="4" fillId="10" borderId="39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3" fillId="10" borderId="15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2" fillId="10" borderId="39" xfId="0" applyFont="1" applyFill="1" applyBorder="1" applyAlignment="1">
      <alignment horizontal="center" vertical="center" wrapText="1"/>
    </xf>
    <xf numFmtId="0" fontId="22" fillId="10" borderId="76" xfId="0" applyFont="1" applyFill="1" applyBorder="1" applyAlignment="1">
      <alignment horizontal="center" vertical="center" wrapText="1"/>
    </xf>
    <xf numFmtId="0" fontId="23" fillId="10" borderId="27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2" fillId="10" borderId="39" xfId="0" applyFont="1" applyFill="1" applyBorder="1" applyAlignment="1">
      <alignment horizontal="center" vertical="center"/>
    </xf>
    <xf numFmtId="0" fontId="23" fillId="10" borderId="57" xfId="0" applyFont="1" applyFill="1" applyBorder="1" applyAlignment="1">
      <alignment horizontal="center" vertical="center" wrapText="1"/>
    </xf>
    <xf numFmtId="0" fontId="22" fillId="10" borderId="43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76" xfId="0" applyFont="1" applyFill="1" applyBorder="1" applyAlignment="1">
      <alignment horizontal="center" vertical="center"/>
    </xf>
    <xf numFmtId="0" fontId="22" fillId="10" borderId="34" xfId="0" applyFont="1" applyFill="1" applyBorder="1" applyAlignment="1">
      <alignment horizontal="center" vertical="center"/>
    </xf>
    <xf numFmtId="1" fontId="22" fillId="10" borderId="24" xfId="0" applyNumberFormat="1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 wrapText="1"/>
    </xf>
    <xf numFmtId="10" fontId="22" fillId="10" borderId="88" xfId="0" applyNumberFormat="1" applyFont="1" applyFill="1" applyBorder="1" applyAlignment="1">
      <alignment horizontal="center" vertical="center" wrapText="1"/>
    </xf>
    <xf numFmtId="174" fontId="23" fillId="10" borderId="27" xfId="0" applyNumberFormat="1" applyFont="1" applyFill="1" applyBorder="1" applyAlignment="1">
      <alignment horizontal="center" vertical="center" wrapText="1"/>
    </xf>
    <xf numFmtId="174" fontId="22" fillId="10" borderId="24" xfId="0" applyNumberFormat="1" applyFont="1" applyFill="1" applyBorder="1" applyAlignment="1">
      <alignment horizontal="center" vertical="center" wrapText="1"/>
    </xf>
    <xf numFmtId="174" fontId="22" fillId="10" borderId="24" xfId="0" applyNumberFormat="1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 wrapText="1"/>
    </xf>
    <xf numFmtId="0" fontId="23" fillId="10" borderId="54" xfId="0" applyFont="1" applyFill="1" applyBorder="1" applyAlignment="1">
      <alignment horizontal="center" vertical="center" wrapText="1"/>
    </xf>
    <xf numFmtId="49" fontId="23" fillId="10" borderId="28" xfId="0" applyNumberFormat="1" applyFont="1" applyFill="1" applyBorder="1" applyAlignment="1">
      <alignment horizontal="center" vertical="center" wrapText="1"/>
    </xf>
    <xf numFmtId="49" fontId="23" fillId="10" borderId="39" xfId="0" applyNumberFormat="1" applyFont="1" applyFill="1" applyBorder="1" applyAlignment="1">
      <alignment horizontal="center" vertical="center" wrapText="1"/>
    </xf>
    <xf numFmtId="0" fontId="22" fillId="10" borderId="58" xfId="0" applyFont="1" applyFill="1" applyBorder="1" applyAlignment="1">
      <alignment horizontal="center" vertical="center" wrapText="1"/>
    </xf>
    <xf numFmtId="0" fontId="23" fillId="10" borderId="85" xfId="0" applyFont="1" applyFill="1" applyBorder="1" applyAlignment="1">
      <alignment horizontal="center" vertical="center" wrapText="1"/>
    </xf>
    <xf numFmtId="0" fontId="23" fillId="10" borderId="88" xfId="0" applyFont="1" applyFill="1" applyBorder="1" applyAlignment="1">
      <alignment horizontal="center" vertical="center" wrapText="1"/>
    </xf>
    <xf numFmtId="0" fontId="22" fillId="10" borderId="67" xfId="0" applyFont="1" applyFill="1" applyBorder="1" applyAlignment="1">
      <alignment horizontal="center" vertical="center" wrapText="1"/>
    </xf>
    <xf numFmtId="164" fontId="22" fillId="10" borderId="40" xfId="0" applyNumberFormat="1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22" fillId="10" borderId="30" xfId="0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177" fontId="22" fillId="10" borderId="34" xfId="0" applyNumberFormat="1" applyFont="1" applyFill="1" applyBorder="1" applyAlignment="1">
      <alignment horizontal="center" vertical="center" wrapText="1"/>
    </xf>
    <xf numFmtId="0" fontId="22" fillId="10" borderId="0" xfId="0" applyFont="1" applyFill="1" applyBorder="1"/>
    <xf numFmtId="0" fontId="23" fillId="10" borderId="29" xfId="0" applyFont="1" applyFill="1" applyBorder="1" applyAlignment="1">
      <alignment horizontal="center" vertical="center" wrapText="1"/>
    </xf>
    <xf numFmtId="0" fontId="22" fillId="10" borderId="88" xfId="0" applyFont="1" applyFill="1" applyBorder="1" applyAlignment="1">
      <alignment horizontal="center" vertical="center" wrapText="1"/>
    </xf>
    <xf numFmtId="0" fontId="23" fillId="8" borderId="48" xfId="0" applyFont="1" applyFill="1" applyBorder="1" applyAlignment="1">
      <alignment horizontal="center" vertical="center"/>
    </xf>
    <xf numFmtId="168" fontId="5" fillId="4" borderId="15" xfId="0" applyNumberFormat="1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9" fontId="7" fillId="0" borderId="24" xfId="0" applyNumberFormat="1" applyFont="1" applyBorder="1" applyAlignment="1" applyProtection="1">
      <alignment horizontal="center" vertical="center"/>
      <protection locked="0"/>
    </xf>
    <xf numFmtId="169" fontId="7" fillId="0" borderId="24" xfId="0" applyNumberFormat="1" applyFont="1" applyBorder="1" applyAlignment="1">
      <alignment horizontal="center" vertical="center"/>
    </xf>
    <xf numFmtId="164" fontId="3" fillId="10" borderId="24" xfId="0" applyNumberFormat="1" applyFont="1" applyFill="1" applyBorder="1" applyAlignment="1">
      <alignment horizontal="center" vertical="center" wrapText="1"/>
    </xf>
    <xf numFmtId="164" fontId="2" fillId="10" borderId="24" xfId="0" applyNumberFormat="1" applyFont="1" applyFill="1" applyBorder="1" applyAlignment="1">
      <alignment horizontal="center" vertical="center" wrapText="1"/>
    </xf>
    <xf numFmtId="0" fontId="3" fillId="10" borderId="24" xfId="0" applyNumberFormat="1" applyFont="1" applyFill="1" applyBorder="1" applyAlignment="1">
      <alignment horizontal="center" vertical="center" wrapText="1"/>
    </xf>
    <xf numFmtId="0" fontId="2" fillId="10" borderId="24" xfId="0" applyNumberFormat="1" applyFont="1" applyFill="1" applyBorder="1" applyAlignment="1">
      <alignment horizontal="center" vertical="center" wrapText="1"/>
    </xf>
    <xf numFmtId="0" fontId="0" fillId="10" borderId="25" xfId="0" applyNumberForma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 horizontal="center" vertical="center" wrapText="1"/>
    </xf>
    <xf numFmtId="4" fontId="2" fillId="10" borderId="24" xfId="0" applyNumberFormat="1" applyFont="1" applyFill="1" applyBorder="1" applyAlignment="1">
      <alignment horizontal="center" vertical="center" wrapText="1"/>
    </xf>
    <xf numFmtId="4" fontId="2" fillId="10" borderId="39" xfId="0" applyNumberFormat="1" applyFont="1" applyFill="1" applyBorder="1" applyAlignment="1">
      <alignment horizontal="center" vertical="center" wrapText="1"/>
    </xf>
    <xf numFmtId="4" fontId="3" fillId="7" borderId="28" xfId="0" applyNumberFormat="1" applyFont="1" applyFill="1" applyBorder="1" applyAlignment="1">
      <alignment horizontal="center" vertical="center" wrapText="1"/>
    </xf>
    <xf numFmtId="4" fontId="2" fillId="7" borderId="24" xfId="0" applyNumberFormat="1" applyFont="1" applyFill="1" applyBorder="1" applyAlignment="1">
      <alignment horizontal="center" vertical="center" wrapText="1"/>
    </xf>
    <xf numFmtId="4" fontId="2" fillId="7" borderId="33" xfId="0" applyNumberFormat="1" applyFont="1" applyFill="1" applyBorder="1" applyAlignment="1">
      <alignment horizontal="center" vertical="center" wrapText="1"/>
    </xf>
    <xf numFmtId="4" fontId="7" fillId="10" borderId="2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vertical="center" wrapText="1"/>
    </xf>
    <xf numFmtId="0" fontId="3" fillId="10" borderId="45" xfId="0" applyFont="1" applyFill="1" applyBorder="1" applyAlignment="1" applyProtection="1">
      <alignment horizontal="center" vertical="center" wrapText="1"/>
      <protection locked="0"/>
    </xf>
    <xf numFmtId="0" fontId="3" fillId="10" borderId="24" xfId="0" applyFont="1" applyFill="1" applyBorder="1" applyAlignment="1" applyProtection="1">
      <alignment horizontal="center" vertical="center" wrapText="1"/>
      <protection locked="0"/>
    </xf>
    <xf numFmtId="4" fontId="7" fillId="7" borderId="24" xfId="0" applyNumberFormat="1" applyFont="1" applyFill="1" applyBorder="1" applyAlignment="1">
      <alignment horizontal="center" vertical="center"/>
    </xf>
    <xf numFmtId="4" fontId="7" fillId="10" borderId="24" xfId="0" applyNumberFormat="1" applyFont="1" applyFill="1" applyBorder="1" applyAlignment="1">
      <alignment horizontal="center" vertical="center"/>
    </xf>
    <xf numFmtId="4" fontId="7" fillId="10" borderId="39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4" fontId="7" fillId="1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24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28" xfId="0" applyNumberFormat="1" applyFont="1" applyBorder="1" applyAlignment="1" applyProtection="1">
      <alignment horizontal="center" vertical="center"/>
      <protection locked="0"/>
    </xf>
    <xf numFmtId="169" fontId="7" fillId="0" borderId="39" xfId="0" applyNumberFormat="1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2" fillId="2" borderId="73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 applyProtection="1">
      <alignment horizontal="center" vertical="center"/>
      <protection locked="0"/>
    </xf>
    <xf numFmtId="0" fontId="7" fillId="10" borderId="39" xfId="0" applyFont="1" applyFill="1" applyBorder="1" applyAlignment="1" applyProtection="1">
      <alignment horizontal="center" vertical="center"/>
      <protection locked="0"/>
    </xf>
    <xf numFmtId="175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24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8" fontId="7" fillId="0" borderId="39" xfId="0" applyNumberFormat="1" applyFont="1" applyBorder="1" applyAlignment="1">
      <alignment horizontal="center" vertical="center" wrapText="1"/>
    </xf>
    <xf numFmtId="178" fontId="5" fillId="0" borderId="24" xfId="0" applyNumberFormat="1" applyFont="1" applyBorder="1" applyAlignment="1">
      <alignment horizontal="left" vertical="center" wrapText="1"/>
    </xf>
    <xf numFmtId="178" fontId="7" fillId="0" borderId="24" xfId="0" applyNumberFormat="1" applyFont="1" applyBorder="1" applyAlignment="1">
      <alignment horizontal="center" vertical="center" wrapText="1"/>
    </xf>
    <xf numFmtId="178" fontId="3" fillId="7" borderId="24" xfId="0" applyNumberFormat="1" applyFont="1" applyFill="1" applyBorder="1" applyAlignment="1">
      <alignment horizontal="center" vertical="center" wrapText="1"/>
    </xf>
    <xf numFmtId="164" fontId="5" fillId="10" borderId="24" xfId="0" applyNumberFormat="1" applyFont="1" applyFill="1" applyBorder="1" applyAlignment="1">
      <alignment horizontal="left" vertical="center" wrapText="1"/>
    </xf>
    <xf numFmtId="164" fontId="7" fillId="10" borderId="24" xfId="0" applyNumberFormat="1" applyFont="1" applyFill="1" applyBorder="1" applyAlignment="1">
      <alignment horizontal="left" vertical="center" wrapText="1"/>
    </xf>
    <xf numFmtId="4" fontId="3" fillId="7" borderId="24" xfId="0" applyNumberFormat="1" applyFont="1" applyFill="1" applyBorder="1" applyAlignment="1">
      <alignment horizontal="center" vertical="center" wrapText="1"/>
    </xf>
    <xf numFmtId="4" fontId="3" fillId="7" borderId="33" xfId="0" applyNumberFormat="1" applyFont="1" applyFill="1" applyBorder="1" applyAlignment="1">
      <alignment horizontal="center" vertical="center" wrapText="1"/>
    </xf>
    <xf numFmtId="169" fontId="2" fillId="10" borderId="24" xfId="0" applyNumberFormat="1" applyFont="1" applyFill="1" applyBorder="1" applyAlignment="1">
      <alignment horizontal="center" vertical="center" wrapText="1"/>
    </xf>
    <xf numFmtId="169" fontId="3" fillId="7" borderId="28" xfId="0" applyNumberFormat="1" applyFont="1" applyFill="1" applyBorder="1" applyAlignment="1">
      <alignment horizontal="center" vertical="center" wrapText="1"/>
    </xf>
    <xf numFmtId="169" fontId="2" fillId="7" borderId="24" xfId="0" applyNumberFormat="1" applyFont="1" applyFill="1" applyBorder="1" applyAlignment="1">
      <alignment horizontal="center" vertical="center" wrapText="1"/>
    </xf>
    <xf numFmtId="174" fontId="7" fillId="10" borderId="15" xfId="0" applyNumberFormat="1" applyFont="1" applyFill="1" applyBorder="1" applyAlignment="1">
      <alignment horizontal="center" vertical="center"/>
    </xf>
    <xf numFmtId="174" fontId="7" fillId="0" borderId="24" xfId="0" applyNumberFormat="1" applyFont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69" fontId="7" fillId="10" borderId="24" xfId="0" applyNumberFormat="1" applyFont="1" applyFill="1" applyBorder="1" applyAlignment="1" applyProtection="1">
      <alignment horizontal="center" vertical="center"/>
      <protection locked="0"/>
    </xf>
    <xf numFmtId="4" fontId="5" fillId="10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24" xfId="0" applyNumberFormat="1" applyFont="1" applyFill="1" applyBorder="1" applyAlignment="1" applyProtection="1">
      <alignment horizontal="center" vertical="center"/>
      <protection locked="0"/>
    </xf>
    <xf numFmtId="169" fontId="7" fillId="10" borderId="45" xfId="0" applyNumberFormat="1" applyFont="1" applyFill="1" applyBorder="1" applyAlignment="1" applyProtection="1">
      <alignment horizontal="center" vertical="center" wrapText="1"/>
      <protection locked="0"/>
    </xf>
    <xf numFmtId="169" fontId="7" fillId="10" borderId="58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24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/>
    </xf>
    <xf numFmtId="0" fontId="2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173" fontId="3" fillId="4" borderId="15" xfId="0" applyNumberFormat="1" applyFont="1" applyFill="1" applyBorder="1" applyAlignment="1" applyProtection="1">
      <alignment horizontal="center" vertical="center" wrapText="1"/>
    </xf>
    <xf numFmtId="0" fontId="22" fillId="10" borderId="27" xfId="0" applyFont="1" applyFill="1" applyBorder="1" applyAlignment="1">
      <alignment horizontal="center" vertical="center"/>
    </xf>
    <xf numFmtId="0" fontId="22" fillId="10" borderId="57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 wrapText="1"/>
    </xf>
    <xf numFmtId="49" fontId="23" fillId="10" borderId="58" xfId="0" applyNumberFormat="1" applyFont="1" applyFill="1" applyBorder="1" applyAlignment="1">
      <alignment horizontal="center" vertical="center" wrapText="1"/>
    </xf>
    <xf numFmtId="49" fontId="23" fillId="10" borderId="55" xfId="0" applyNumberFormat="1" applyFont="1" applyFill="1" applyBorder="1" applyAlignment="1">
      <alignment horizontal="center" vertical="center" wrapText="1"/>
    </xf>
    <xf numFmtId="0" fontId="23" fillId="8" borderId="48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173" fontId="22" fillId="10" borderId="76" xfId="0" applyNumberFormat="1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wrapText="1"/>
    </xf>
    <xf numFmtId="0" fontId="23" fillId="8" borderId="50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top" wrapText="1"/>
    </xf>
    <xf numFmtId="0" fontId="23" fillId="10" borderId="93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  <xf numFmtId="0" fontId="22" fillId="10" borderId="42" xfId="0" applyFont="1" applyFill="1" applyBorder="1" applyAlignment="1">
      <alignment horizontal="center" vertical="center" wrapText="1"/>
    </xf>
    <xf numFmtId="0" fontId="22" fillId="10" borderId="32" xfId="0" applyFont="1" applyFill="1" applyBorder="1" applyAlignment="1">
      <alignment horizontal="center" vertical="center" wrapText="1"/>
    </xf>
    <xf numFmtId="0" fontId="22" fillId="8" borderId="97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10" borderId="62" xfId="0" applyFont="1" applyFill="1" applyBorder="1" applyAlignment="1">
      <alignment horizontal="center" vertical="center" wrapText="1"/>
    </xf>
    <xf numFmtId="0" fontId="22" fillId="10" borderId="44" xfId="0" applyFont="1" applyFill="1" applyBorder="1" applyAlignment="1">
      <alignment horizontal="center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22" fillId="10" borderId="50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0" fillId="10" borderId="0" xfId="0" applyFill="1" applyBorder="1"/>
    <xf numFmtId="0" fontId="22" fillId="10" borderId="70" xfId="0" applyFont="1" applyFill="1" applyBorder="1" applyAlignment="1">
      <alignment horizontal="center" vertical="center" wrapText="1"/>
    </xf>
    <xf numFmtId="0" fontId="0" fillId="9" borderId="21" xfId="0" applyNumberForma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vertical="center" wrapText="1"/>
    </xf>
    <xf numFmtId="0" fontId="7" fillId="9" borderId="24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vertical="center"/>
    </xf>
    <xf numFmtId="0" fontId="22" fillId="10" borderId="0" xfId="0" applyFont="1" applyFill="1" applyBorder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19" fillId="8" borderId="21" xfId="0" applyFont="1" applyFill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/>
    </xf>
    <xf numFmtId="0" fontId="7" fillId="10" borderId="39" xfId="0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2" fillId="10" borderId="28" xfId="0" applyNumberFormat="1" applyFont="1" applyFill="1" applyBorder="1" applyAlignment="1" applyProtection="1">
      <alignment horizontal="center" vertical="center" wrapText="1"/>
      <protection locked="0"/>
    </xf>
    <xf numFmtId="178" fontId="2" fillId="10" borderId="28" xfId="0" applyNumberFormat="1" applyFont="1" applyFill="1" applyBorder="1" applyAlignment="1" applyProtection="1">
      <alignment horizontal="center" vertical="center" wrapText="1"/>
      <protection locked="0"/>
    </xf>
    <xf numFmtId="178" fontId="3" fillId="7" borderId="40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5" borderId="40" xfId="0" applyNumberFormat="1" applyFont="1" applyFill="1" applyBorder="1" applyAlignment="1">
      <alignment horizontal="center" vertical="center" wrapText="1"/>
    </xf>
    <xf numFmtId="0" fontId="22" fillId="10" borderId="40" xfId="0" applyFont="1" applyFill="1" applyBorder="1" applyAlignment="1">
      <alignment horizontal="center" vertical="center" wrapText="1"/>
    </xf>
    <xf numFmtId="0" fontId="22" fillId="10" borderId="40" xfId="0" applyFont="1" applyFill="1" applyBorder="1" applyAlignment="1">
      <alignment horizontal="center" vertical="center"/>
    </xf>
    <xf numFmtId="0" fontId="22" fillId="10" borderId="85" xfId="0" applyFont="1" applyFill="1" applyBorder="1" applyAlignment="1">
      <alignment horizontal="center" vertical="center"/>
    </xf>
    <xf numFmtId="4" fontId="7" fillId="10" borderId="3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78" fontId="3" fillId="7" borderId="15" xfId="0" applyNumberFormat="1" applyFont="1" applyFill="1" applyBorder="1" applyAlignment="1" applyProtection="1">
      <alignment horizontal="center" vertical="center" wrapText="1"/>
      <protection locked="0"/>
    </xf>
    <xf numFmtId="175" fontId="10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10" borderId="24" xfId="0" applyFont="1" applyFill="1" applyBorder="1" applyAlignment="1">
      <alignment horizontal="center" vertical="center"/>
    </xf>
    <xf numFmtId="0" fontId="0" fillId="3" borderId="0" xfId="0" applyFill="1"/>
    <xf numFmtId="0" fontId="7" fillId="3" borderId="24" xfId="0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0" fillId="0" borderId="24" xfId="0" applyBorder="1"/>
    <xf numFmtId="0" fontId="22" fillId="10" borderId="24" xfId="0" applyFont="1" applyFill="1" applyBorder="1" applyAlignment="1">
      <alignment horizontal="center" vertical="center"/>
    </xf>
    <xf numFmtId="0" fontId="23" fillId="10" borderId="58" xfId="0" applyFont="1" applyFill="1" applyBorder="1" applyAlignment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173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78" fontId="31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28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>
      <alignment horizontal="center" vertical="center"/>
    </xf>
    <xf numFmtId="0" fontId="7" fillId="9" borderId="55" xfId="0" applyNumberFormat="1" applyFont="1" applyFill="1" applyBorder="1" applyAlignment="1" applyProtection="1">
      <alignment horizontal="center" vertical="center"/>
      <protection locked="0"/>
    </xf>
    <xf numFmtId="0" fontId="7" fillId="9" borderId="57" xfId="0" applyNumberFormat="1" applyFont="1" applyFill="1" applyBorder="1" applyAlignment="1" applyProtection="1">
      <alignment horizontal="center" vertical="center"/>
      <protection locked="0"/>
    </xf>
    <xf numFmtId="0" fontId="7" fillId="9" borderId="45" xfId="0" applyNumberFormat="1" applyFont="1" applyFill="1" applyBorder="1" applyAlignment="1" applyProtection="1">
      <alignment horizontal="center" vertical="center"/>
      <protection locked="0"/>
    </xf>
    <xf numFmtId="0" fontId="7" fillId="9" borderId="46" xfId="0" applyNumberFormat="1" applyFont="1" applyFill="1" applyBorder="1" applyAlignment="1" applyProtection="1">
      <alignment horizontal="center" vertical="center"/>
      <protection locked="0"/>
    </xf>
    <xf numFmtId="0" fontId="7" fillId="9" borderId="30" xfId="0" applyNumberFormat="1" applyFont="1" applyFill="1" applyBorder="1" applyAlignment="1" applyProtection="1">
      <alignment horizontal="center" vertical="center"/>
      <protection locked="0"/>
    </xf>
    <xf numFmtId="0" fontId="7" fillId="10" borderId="39" xfId="0" applyFont="1" applyFill="1" applyBorder="1" applyAlignment="1" applyProtection="1">
      <alignment horizontal="center" vertical="center" wrapText="1"/>
      <protection locked="0"/>
    </xf>
    <xf numFmtId="0" fontId="7" fillId="10" borderId="40" xfId="0" applyFont="1" applyFill="1" applyBorder="1" applyAlignment="1" applyProtection="1">
      <alignment horizontal="center" vertical="center" wrapText="1"/>
      <protection locked="0"/>
    </xf>
    <xf numFmtId="0" fontId="7" fillId="10" borderId="28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top" wrapText="1"/>
      <protection locked="0"/>
    </xf>
    <xf numFmtId="0" fontId="7" fillId="10" borderId="24" xfId="0" applyFont="1" applyFill="1" applyBorder="1" applyAlignment="1" applyProtection="1">
      <alignment horizontal="center" vertical="top" wrapText="1"/>
      <protection locked="0"/>
    </xf>
    <xf numFmtId="0" fontId="7" fillId="9" borderId="24" xfId="0" applyFont="1" applyFill="1" applyBorder="1" applyAlignment="1" applyProtection="1">
      <alignment horizontal="center" vertical="top" wrapText="1"/>
      <protection locked="0"/>
    </xf>
    <xf numFmtId="0" fontId="7" fillId="9" borderId="39" xfId="0" applyFont="1" applyFill="1" applyBorder="1" applyAlignment="1" applyProtection="1">
      <alignment horizontal="center" vertical="top" wrapText="1"/>
      <protection locked="0"/>
    </xf>
    <xf numFmtId="0" fontId="3" fillId="9" borderId="45" xfId="0" applyFont="1" applyFill="1" applyBorder="1" applyAlignment="1" applyProtection="1">
      <alignment horizontal="center" vertical="top" wrapText="1"/>
      <protection locked="0"/>
    </xf>
    <xf numFmtId="0" fontId="3" fillId="9" borderId="46" xfId="0" applyFont="1" applyFill="1" applyBorder="1" applyAlignment="1" applyProtection="1">
      <alignment horizontal="center" vertical="top" wrapText="1"/>
      <protection locked="0"/>
    </xf>
    <xf numFmtId="0" fontId="3" fillId="9" borderId="30" xfId="0" applyFont="1" applyFill="1" applyBorder="1" applyAlignment="1" applyProtection="1">
      <alignment horizontal="center" vertical="top" wrapText="1"/>
      <protection locked="0"/>
    </xf>
    <xf numFmtId="0" fontId="3" fillId="7" borderId="42" xfId="0" applyFont="1" applyFill="1" applyBorder="1" applyAlignment="1" applyProtection="1">
      <alignment horizontal="center" vertical="top" wrapText="1"/>
      <protection locked="0"/>
    </xf>
    <xf numFmtId="0" fontId="3" fillId="7" borderId="43" xfId="0" applyFont="1" applyFill="1" applyBorder="1" applyAlignment="1" applyProtection="1">
      <alignment horizontal="center" vertical="top" wrapText="1"/>
      <protection locked="0"/>
    </xf>
    <xf numFmtId="0" fontId="3" fillId="7" borderId="44" xfId="0" applyFont="1" applyFill="1" applyBorder="1" applyAlignment="1" applyProtection="1">
      <alignment horizontal="center" vertical="top" wrapText="1"/>
      <protection locked="0"/>
    </xf>
    <xf numFmtId="0" fontId="7" fillId="9" borderId="36" xfId="0" applyFont="1" applyFill="1" applyBorder="1" applyAlignment="1" applyProtection="1">
      <alignment horizontal="center" vertical="center" wrapText="1"/>
      <protection locked="0"/>
    </xf>
    <xf numFmtId="0" fontId="7" fillId="9" borderId="28" xfId="0" applyFont="1" applyFill="1" applyBorder="1" applyAlignment="1" applyProtection="1">
      <alignment horizontal="center" vertical="center" wrapText="1"/>
      <protection locked="0"/>
    </xf>
    <xf numFmtId="166" fontId="7" fillId="9" borderId="51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2" xfId="0" applyNumberFormat="1" applyFont="1" applyFill="1" applyBorder="1" applyAlignment="1" applyProtection="1">
      <alignment horizontal="center" vertical="center" wrapText="1"/>
      <protection locked="0"/>
    </xf>
    <xf numFmtId="166" fontId="7" fillId="9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9" borderId="24" xfId="0" applyFont="1" applyFill="1" applyBorder="1" applyAlignment="1" applyProtection="1">
      <alignment horizontal="center" vertical="top" wrapText="1"/>
      <protection locked="0"/>
    </xf>
    <xf numFmtId="0" fontId="5" fillId="9" borderId="39" xfId="0" applyFont="1" applyFill="1" applyBorder="1" applyAlignment="1" applyProtection="1">
      <alignment horizontal="center" vertical="top" wrapText="1"/>
      <protection locked="0"/>
    </xf>
    <xf numFmtId="0" fontId="5" fillId="9" borderId="45" xfId="0" applyFont="1" applyFill="1" applyBorder="1" applyAlignment="1" applyProtection="1">
      <alignment horizontal="center" vertical="center" wrapText="1"/>
      <protection locked="0"/>
    </xf>
    <xf numFmtId="0" fontId="5" fillId="9" borderId="46" xfId="0" applyFont="1" applyFill="1" applyBorder="1" applyAlignment="1" applyProtection="1">
      <alignment horizontal="center" vertical="center" wrapText="1"/>
      <protection locked="0"/>
    </xf>
    <xf numFmtId="0" fontId="5" fillId="9" borderId="30" xfId="0" applyFont="1" applyFill="1" applyBorder="1" applyAlignment="1" applyProtection="1">
      <alignment horizontal="center" vertical="center" wrapText="1"/>
      <protection locked="0"/>
    </xf>
    <xf numFmtId="0" fontId="5" fillId="10" borderId="36" xfId="0" applyFont="1" applyFill="1" applyBorder="1" applyAlignment="1" applyProtection="1">
      <alignment horizontal="center" vertical="center" wrapText="1"/>
      <protection locked="0"/>
    </xf>
    <xf numFmtId="0" fontId="5" fillId="10" borderId="24" xfId="0" applyFont="1" applyFill="1" applyBorder="1" applyAlignment="1" applyProtection="1">
      <alignment horizontal="center" vertical="top" wrapText="1"/>
      <protection locked="0"/>
    </xf>
    <xf numFmtId="0" fontId="5" fillId="10" borderId="39" xfId="0" applyFont="1" applyFill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166" fontId="5" fillId="9" borderId="45" xfId="0" applyNumberFormat="1" applyFont="1" applyFill="1" applyBorder="1" applyAlignment="1" applyProtection="1">
      <alignment horizontal="center" vertical="center" wrapText="1"/>
      <protection locked="0"/>
    </xf>
    <xf numFmtId="166" fontId="5" fillId="9" borderId="46" xfId="0" applyNumberFormat="1" applyFont="1" applyFill="1" applyBorder="1" applyAlignment="1" applyProtection="1">
      <alignment horizontal="center" vertical="center" wrapText="1"/>
      <protection locked="0"/>
    </xf>
    <xf numFmtId="166" fontId="5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top" wrapText="1"/>
      <protection locked="0"/>
    </xf>
    <xf numFmtId="164" fontId="3" fillId="9" borderId="50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47" xfId="0" applyNumberFormat="1" applyFont="1" applyFill="1" applyBorder="1" applyAlignment="1" applyProtection="1">
      <alignment horizontal="center" vertical="center" wrapText="1"/>
      <protection locked="0"/>
    </xf>
    <xf numFmtId="164" fontId="3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28" xfId="0" applyFont="1" applyFill="1" applyBorder="1" applyAlignment="1" applyProtection="1">
      <alignment horizontal="center" vertical="top" wrapText="1"/>
      <protection locked="0"/>
    </xf>
    <xf numFmtId="164" fontId="5" fillId="9" borderId="51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2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3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5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7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8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59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32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top" wrapText="1"/>
      <protection locked="0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0" fontId="5" fillId="10" borderId="36" xfId="0" applyFont="1" applyFill="1" applyBorder="1" applyAlignment="1" applyProtection="1">
      <alignment horizontal="center" vertical="top" wrapText="1"/>
      <protection locked="0"/>
    </xf>
    <xf numFmtId="0" fontId="5" fillId="10" borderId="28" xfId="0" applyFont="1" applyFill="1" applyBorder="1" applyAlignment="1" applyProtection="1">
      <alignment horizontal="center" vertical="top" wrapText="1"/>
      <protection locked="0"/>
    </xf>
    <xf numFmtId="0" fontId="3" fillId="7" borderId="15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55" xfId="0" applyFont="1" applyFill="1" applyBorder="1" applyAlignment="1">
      <alignment horizontal="center" vertical="center" wrapText="1"/>
    </xf>
    <xf numFmtId="0" fontId="7" fillId="9" borderId="56" xfId="0" applyFont="1" applyFill="1" applyBorder="1" applyAlignment="1">
      <alignment horizontal="center" vertical="center" wrapText="1"/>
    </xf>
    <xf numFmtId="0" fontId="7" fillId="9" borderId="82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9" borderId="46" xfId="0" applyFont="1" applyFill="1" applyBorder="1" applyAlignment="1">
      <alignment horizontal="center" vertical="center" wrapText="1"/>
    </xf>
    <xf numFmtId="0" fontId="5" fillId="9" borderId="70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73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0" fontId="22" fillId="8" borderId="28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5" fillId="9" borderId="63" xfId="0" applyFont="1" applyFill="1" applyBorder="1" applyAlignment="1">
      <alignment horizontal="center" vertical="center" wrapText="1"/>
    </xf>
    <xf numFmtId="0" fontId="5" fillId="9" borderId="82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73" xfId="0" applyFont="1" applyFill="1" applyBorder="1" applyAlignment="1">
      <alignment horizontal="center" vertical="top" wrapText="1"/>
    </xf>
    <xf numFmtId="165" fontId="3" fillId="3" borderId="36" xfId="0" applyNumberFormat="1" applyFont="1" applyFill="1" applyBorder="1" applyAlignment="1">
      <alignment horizontal="center" vertical="center" wrapText="1"/>
    </xf>
    <xf numFmtId="165" fontId="3" fillId="3" borderId="73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center" vertical="center" wrapText="1"/>
    </xf>
    <xf numFmtId="2" fontId="33" fillId="10" borderId="0" xfId="0" applyNumberFormat="1" applyFont="1" applyFill="1" applyBorder="1" applyAlignment="1">
      <alignment horizontal="center" vertical="center" wrapText="1"/>
    </xf>
    <xf numFmtId="2" fontId="33" fillId="10" borderId="0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 wrapText="1"/>
    </xf>
    <xf numFmtId="2" fontId="22" fillId="10" borderId="57" xfId="0" applyNumberFormat="1" applyFont="1" applyFill="1" applyBorder="1" applyAlignment="1">
      <alignment horizontal="center" vertical="center"/>
    </xf>
    <xf numFmtId="2" fontId="22" fillId="10" borderId="27" xfId="0" applyNumberFormat="1" applyFont="1" applyFill="1" applyBorder="1" applyAlignment="1">
      <alignment horizontal="center" vertical="center"/>
    </xf>
    <xf numFmtId="0" fontId="23" fillId="8" borderId="67" xfId="0" applyFont="1" applyFill="1" applyBorder="1" applyAlignment="1">
      <alignment horizontal="center" vertical="center" wrapText="1"/>
    </xf>
    <xf numFmtId="0" fontId="23" fillId="8" borderId="9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9" fontId="7" fillId="10" borderId="24" xfId="0" applyNumberFormat="1" applyFont="1" applyFill="1" applyBorder="1" applyAlignment="1">
      <alignment horizontal="center" vertical="center"/>
    </xf>
    <xf numFmtId="0" fontId="22" fillId="10" borderId="44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34" xfId="0" applyFont="1" applyFill="1" applyBorder="1" applyAlignment="1">
      <alignment horizontal="center" vertical="center"/>
    </xf>
    <xf numFmtId="0" fontId="23" fillId="10" borderId="45" xfId="0" applyFont="1" applyFill="1" applyBorder="1" applyAlignment="1">
      <alignment horizontal="center" vertical="center" wrapText="1"/>
    </xf>
    <xf numFmtId="0" fontId="22" fillId="10" borderId="64" xfId="0" applyFont="1" applyFill="1" applyBorder="1" applyAlignment="1">
      <alignment horizontal="center" vertical="center" wrapText="1"/>
    </xf>
    <xf numFmtId="0" fontId="0" fillId="0" borderId="0" xfId="0" applyBorder="1"/>
    <xf numFmtId="49" fontId="2" fillId="10" borderId="42" xfId="0" applyNumberFormat="1" applyFont="1" applyFill="1" applyBorder="1" applyAlignment="1">
      <alignment horizontal="center" vertical="center" wrapText="1"/>
    </xf>
    <xf numFmtId="49" fontId="2" fillId="10" borderId="43" xfId="0" applyNumberFormat="1" applyFont="1" applyFill="1" applyBorder="1" applyAlignment="1">
      <alignment horizontal="center" vertical="center" wrapText="1"/>
    </xf>
    <xf numFmtId="49" fontId="0" fillId="10" borderId="14" xfId="0" applyNumberFormat="1" applyFont="1" applyFill="1" applyBorder="1" applyAlignment="1">
      <alignment horizontal="center" vertical="center" wrapText="1"/>
    </xf>
    <xf numFmtId="49" fontId="0" fillId="10" borderId="23" xfId="0" applyNumberFormat="1" applyFont="1" applyFill="1" applyBorder="1" applyAlignment="1">
      <alignment horizontal="center" vertical="center" wrapText="1"/>
    </xf>
    <xf numFmtId="49" fontId="0" fillId="10" borderId="77" xfId="0" applyNumberFormat="1" applyFont="1" applyFill="1" applyBorder="1" applyAlignment="1">
      <alignment horizontal="center" vertical="center" wrapText="1"/>
    </xf>
    <xf numFmtId="49" fontId="0" fillId="10" borderId="78" xfId="0" applyNumberFormat="1" applyFont="1" applyFill="1" applyBorder="1" applyAlignment="1">
      <alignment horizontal="center" vertical="center" wrapText="1"/>
    </xf>
    <xf numFmtId="49" fontId="0" fillId="10" borderId="57" xfId="0" applyNumberFormat="1" applyFont="1" applyFill="1" applyBorder="1" applyAlignment="1">
      <alignment horizontal="center" vertical="center" wrapText="1"/>
    </xf>
    <xf numFmtId="49" fontId="0" fillId="10" borderId="67" xfId="0" applyNumberFormat="1" applyFont="1" applyFill="1" applyBorder="1" applyAlignment="1">
      <alignment horizontal="center" vertical="center" wrapText="1"/>
    </xf>
    <xf numFmtId="2" fontId="0" fillId="10" borderId="39" xfId="0" applyNumberFormat="1" applyFill="1" applyBorder="1" applyAlignment="1">
      <alignment horizontal="center" vertical="center"/>
    </xf>
    <xf numFmtId="2" fontId="0" fillId="10" borderId="40" xfId="0" applyNumberFormat="1" applyFont="1" applyFill="1" applyBorder="1" applyAlignment="1">
      <alignment horizontal="center" vertical="center"/>
    </xf>
    <xf numFmtId="49" fontId="2" fillId="10" borderId="80" xfId="0" applyNumberFormat="1" applyFont="1" applyFill="1" applyBorder="1" applyAlignment="1">
      <alignment horizontal="center" vertical="center" wrapText="1"/>
    </xf>
    <xf numFmtId="49" fontId="2" fillId="10" borderId="66" xfId="0" applyNumberFormat="1" applyFont="1" applyFill="1" applyBorder="1" applyAlignment="1">
      <alignment horizontal="center" vertical="center" wrapText="1"/>
    </xf>
    <xf numFmtId="49" fontId="2" fillId="10" borderId="81" xfId="0" applyNumberFormat="1" applyFont="1" applyFill="1" applyBorder="1" applyAlignment="1">
      <alignment horizontal="center" vertical="center" wrapText="1"/>
    </xf>
    <xf numFmtId="49" fontId="5" fillId="10" borderId="78" xfId="0" applyNumberFormat="1" applyFont="1" applyFill="1" applyBorder="1" applyAlignment="1">
      <alignment horizontal="center" vertical="center" wrapText="1"/>
    </xf>
    <xf numFmtId="49" fontId="5" fillId="10" borderId="77" xfId="0" applyNumberFormat="1" applyFont="1" applyFill="1" applyBorder="1" applyAlignment="1">
      <alignment horizontal="center" vertical="center" wrapText="1"/>
    </xf>
    <xf numFmtId="49" fontId="5" fillId="10" borderId="23" xfId="0" applyNumberFormat="1" applyFont="1" applyFill="1" applyBorder="1" applyAlignment="1">
      <alignment horizontal="center" vertical="center" wrapText="1"/>
    </xf>
    <xf numFmtId="49" fontId="5" fillId="10" borderId="43" xfId="0" applyNumberFormat="1" applyFont="1" applyFill="1" applyBorder="1" applyAlignment="1">
      <alignment horizontal="center" vertical="center" wrapText="1"/>
    </xf>
    <xf numFmtId="49" fontId="5" fillId="10" borderId="78" xfId="0" applyNumberFormat="1" applyFont="1" applyFill="1" applyBorder="1" applyAlignment="1">
      <alignment horizontal="center" vertical="center" wrapText="1"/>
    </xf>
    <xf numFmtId="49" fontId="2" fillId="10" borderId="23" xfId="0" applyNumberFormat="1" applyFont="1" applyFill="1" applyBorder="1" applyAlignment="1">
      <alignment horizontal="center" vertical="center" wrapText="1"/>
    </xf>
    <xf numFmtId="49" fontId="5" fillId="10" borderId="77" xfId="0" applyNumberFormat="1" applyFont="1" applyFill="1" applyBorder="1" applyAlignment="1">
      <alignment horizontal="center" vertical="center" wrapText="1"/>
    </xf>
    <xf numFmtId="49" fontId="2" fillId="10" borderId="78" xfId="0" applyNumberFormat="1" applyFont="1" applyFill="1" applyBorder="1" applyAlignment="1">
      <alignment horizontal="center" vertical="center" wrapText="1"/>
    </xf>
    <xf numFmtId="49" fontId="5" fillId="10" borderId="24" xfId="0" applyNumberFormat="1" applyFont="1" applyFill="1" applyBorder="1" applyAlignment="1">
      <alignment horizontal="center" vertical="center" wrapText="1"/>
    </xf>
    <xf numFmtId="49" fontId="2" fillId="10" borderId="77" xfId="0" applyNumberFormat="1" applyFont="1" applyFill="1" applyBorder="1" applyAlignment="1">
      <alignment horizontal="center" vertical="center" wrapText="1"/>
    </xf>
    <xf numFmtId="49" fontId="2" fillId="10" borderId="14" xfId="0" applyNumberFormat="1" applyFont="1" applyFill="1" applyBorder="1" applyAlignment="1">
      <alignment horizontal="center" vertical="center" wrapText="1"/>
    </xf>
    <xf numFmtId="49" fontId="2" fillId="10" borderId="23" xfId="0" applyNumberFormat="1" applyFont="1" applyFill="1" applyBorder="1" applyAlignment="1">
      <alignment horizontal="center" vertical="center" wrapText="1"/>
    </xf>
    <xf numFmtId="49" fontId="2" fillId="10" borderId="32" xfId="0" applyNumberFormat="1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49" fontId="5" fillId="10" borderId="32" xfId="0" applyNumberFormat="1" applyFont="1" applyFill="1" applyBorder="1" applyAlignment="1">
      <alignment horizontal="center" vertical="center" wrapText="1"/>
    </xf>
    <xf numFmtId="0" fontId="0" fillId="10" borderId="23" xfId="0" applyFill="1" applyBorder="1"/>
    <xf numFmtId="0" fontId="0" fillId="10" borderId="77" xfId="0" applyFill="1" applyBorder="1"/>
    <xf numFmtId="49" fontId="2" fillId="10" borderId="78" xfId="0" applyNumberFormat="1" applyFont="1" applyFill="1" applyBorder="1" applyAlignment="1">
      <alignment horizontal="center" vertical="center" wrapText="1"/>
    </xf>
    <xf numFmtId="49" fontId="2" fillId="10" borderId="77" xfId="0" applyNumberFormat="1" applyFont="1" applyFill="1" applyBorder="1" applyAlignment="1">
      <alignment horizontal="center" vertical="center" wrapText="1"/>
    </xf>
    <xf numFmtId="1" fontId="22" fillId="10" borderId="39" xfId="0" applyNumberFormat="1" applyFont="1" applyFill="1" applyBorder="1" applyAlignment="1">
      <alignment horizontal="center" vertical="center"/>
    </xf>
    <xf numFmtId="0" fontId="22" fillId="10" borderId="85" xfId="0" applyFont="1" applyFill="1" applyBorder="1" applyAlignment="1">
      <alignment horizontal="center" vertical="center" wrapText="1"/>
    </xf>
    <xf numFmtId="164" fontId="22" fillId="10" borderId="24" xfId="0" applyNumberFormat="1" applyFont="1" applyFill="1" applyBorder="1" applyAlignment="1">
      <alignment horizontal="center" vertical="center" wrapText="1"/>
    </xf>
    <xf numFmtId="0" fontId="22" fillId="10" borderId="4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4" fontId="23" fillId="10" borderId="0" xfId="0" applyNumberFormat="1" applyFont="1" applyFill="1" applyBorder="1" applyAlignment="1">
      <alignment horizontal="center" vertical="center" wrapText="1"/>
    </xf>
    <xf numFmtId="174" fontId="22" fillId="10" borderId="0" xfId="0" applyNumberFormat="1" applyFont="1" applyFill="1" applyBorder="1" applyAlignment="1">
      <alignment horizontal="center" vertical="center" wrapText="1"/>
    </xf>
    <xf numFmtId="174" fontId="22" fillId="10" borderId="0" xfId="0" applyNumberFormat="1" applyFont="1" applyFill="1" applyBorder="1" applyAlignment="1">
      <alignment horizontal="center" vertical="center"/>
    </xf>
    <xf numFmtId="49" fontId="2" fillId="1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22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31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35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37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38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1" xfId="0" applyNumberFormat="1" applyFont="1" applyFill="1" applyBorder="1" applyAlignment="1" applyProtection="1">
      <alignment horizontal="center" vertical="top" wrapText="1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49" fontId="5" fillId="10" borderId="41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38" xfId="0" applyNumberFormat="1" applyFont="1" applyFill="1" applyBorder="1" applyAlignment="1" applyProtection="1">
      <alignment horizontal="center" vertical="top" wrapText="1"/>
      <protection locked="0"/>
    </xf>
    <xf numFmtId="49" fontId="19" fillId="1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7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7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96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10" borderId="1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60" xfId="0" applyNumberFormat="1" applyFont="1" applyFill="1" applyBorder="1" applyAlignment="1" applyProtection="1">
      <alignment horizontal="center" vertical="top" wrapText="1"/>
      <protection locked="0"/>
    </xf>
    <xf numFmtId="49" fontId="8" fillId="10" borderId="61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4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60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64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65" xfId="0" applyNumberFormat="1" applyFont="1" applyFill="1" applyBorder="1" applyAlignment="1" applyProtection="1">
      <alignment horizontal="center" vertical="top" wrapText="1"/>
      <protection locked="0"/>
    </xf>
    <xf numFmtId="49" fontId="5" fillId="10" borderId="65" xfId="0" applyNumberFormat="1" applyFont="1" applyFill="1" applyBorder="1" applyAlignment="1" applyProtection="1">
      <alignment horizontal="center" vertical="top" wrapText="1"/>
      <protection locked="0"/>
    </xf>
    <xf numFmtId="49" fontId="2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66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72" xfId="0" applyNumberFormat="1" applyFont="1" applyFill="1" applyBorder="1" applyAlignment="1" applyProtection="1">
      <alignment horizontal="center" vertical="center" wrapText="1"/>
      <protection locked="0"/>
    </xf>
    <xf numFmtId="2" fontId="5" fillId="10" borderId="24" xfId="0" applyNumberFormat="1" applyFont="1" applyFill="1" applyBorder="1" applyAlignment="1" applyProtection="1">
      <alignment horizontal="center" vertical="top" wrapText="1"/>
      <protection locked="0"/>
    </xf>
    <xf numFmtId="0" fontId="12" fillId="10" borderId="39" xfId="0" applyFont="1" applyFill="1" applyBorder="1" applyProtection="1">
      <protection locked="0"/>
    </xf>
    <xf numFmtId="49" fontId="2" fillId="10" borderId="65" xfId="0" applyNumberFormat="1" applyFont="1" applyFill="1" applyBorder="1" applyAlignment="1" applyProtection="1">
      <alignment horizontal="center" vertical="center" wrapText="1"/>
      <protection locked="0"/>
    </xf>
    <xf numFmtId="0" fontId="26" fillId="10" borderId="28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178" fontId="2" fillId="10" borderId="24" xfId="0" applyNumberFormat="1" applyFont="1" applyFill="1" applyBorder="1" applyAlignment="1" applyProtection="1">
      <alignment horizontal="center" vertical="center" wrapText="1"/>
      <protection locked="0"/>
    </xf>
    <xf numFmtId="169" fontId="0" fillId="10" borderId="0" xfId="0" applyNumberFormat="1" applyFill="1" applyBorder="1" applyAlignment="1" applyProtection="1">
      <alignment horizontal="center" vertical="center"/>
      <protection locked="0"/>
    </xf>
    <xf numFmtId="0" fontId="2" fillId="10" borderId="24" xfId="0" applyNumberFormat="1" applyFont="1" applyFill="1" applyBorder="1" applyAlignment="1" applyProtection="1">
      <alignment horizontal="right" vertical="top" wrapText="1"/>
      <protection locked="0"/>
    </xf>
    <xf numFmtId="168" fontId="10" fillId="10" borderId="24" xfId="0" applyNumberFormat="1" applyFont="1" applyFill="1" applyBorder="1" applyAlignment="1" applyProtection="1">
      <alignment horizontal="center" vertical="center"/>
      <protection locked="0"/>
    </xf>
    <xf numFmtId="168" fontId="10" fillId="1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30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180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51" xfId="0" applyNumberFormat="1" applyFont="1" applyFill="1" applyBorder="1" applyAlignment="1" applyProtection="1">
      <alignment horizontal="center" vertical="center" wrapText="1"/>
      <protection locked="0"/>
    </xf>
    <xf numFmtId="173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173" fontId="3" fillId="7" borderId="1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0"/>
  <sheetViews>
    <sheetView tabSelected="1" zoomScale="25" zoomScaleNormal="25" workbookViewId="0">
      <selection activeCell="H50" sqref="H47:H50"/>
    </sheetView>
  </sheetViews>
  <sheetFormatPr defaultRowHeight="14.4" outlineLevelRow="1" outlineLevelCol="2" x14ac:dyDescent="0.3"/>
  <cols>
    <col min="1" max="1" width="7.88671875" customWidth="1"/>
    <col min="2" max="2" width="36.109375" customWidth="1"/>
    <col min="3" max="3" width="22.5546875" customWidth="1"/>
    <col min="4" max="5" width="24.5546875" customWidth="1"/>
    <col min="6" max="6" width="21.44140625" customWidth="1" outlineLevel="1"/>
    <col min="7" max="7" width="19.6640625" customWidth="1"/>
    <col min="8" max="8" width="21.44140625" customWidth="1" outlineLevel="2"/>
    <col min="9" max="9" width="19.88671875" customWidth="1" outlineLevel="2"/>
    <col min="10" max="10" width="20.6640625" customWidth="1" outlineLevel="2"/>
    <col min="11" max="11" width="20.109375" customWidth="1" outlineLevel="2"/>
    <col min="12" max="12" width="19.88671875" customWidth="1" outlineLevel="2"/>
    <col min="13" max="13" width="21" customWidth="1" outlineLevel="1"/>
    <col min="14" max="14" width="34.44140625" customWidth="1" outlineLevel="1"/>
    <col min="15" max="17" width="27.6640625" customWidth="1" outlineLevel="1"/>
    <col min="18" max="18" width="30.5546875" customWidth="1" outlineLevel="1"/>
    <col min="19" max="30" width="27.6640625" customWidth="1" outlineLevel="1"/>
    <col min="31" max="31" width="24.5546875" customWidth="1" outlineLevel="1"/>
    <col min="32" max="32" width="25.6640625" customWidth="1" outlineLevel="1"/>
    <col min="33" max="33" width="31" customWidth="1" outlineLevel="1"/>
    <col min="34" max="34" width="16.88671875" bestFit="1" customWidth="1"/>
    <col min="35" max="35" width="24.44140625" bestFit="1" customWidth="1"/>
    <col min="36" max="36" width="12.109375" bestFit="1" customWidth="1"/>
  </cols>
  <sheetData>
    <row r="1" spans="1:30" ht="54.9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808" t="s">
        <v>5</v>
      </c>
      <c r="G1" s="796" t="s">
        <v>6</v>
      </c>
      <c r="H1" s="798" t="s">
        <v>7</v>
      </c>
      <c r="I1" s="800" t="s">
        <v>8</v>
      </c>
      <c r="J1" s="800" t="s">
        <v>9</v>
      </c>
      <c r="K1" s="800" t="s">
        <v>10</v>
      </c>
      <c r="L1" s="802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4.9" customHeight="1" thickBot="1" x14ac:dyDescent="0.35">
      <c r="A2" s="6"/>
      <c r="B2" s="7"/>
      <c r="C2" s="8"/>
      <c r="D2" s="9" t="s">
        <v>417</v>
      </c>
      <c r="E2" s="10" t="s">
        <v>445</v>
      </c>
      <c r="F2" s="809"/>
      <c r="G2" s="797"/>
      <c r="H2" s="799"/>
      <c r="I2" s="801"/>
      <c r="J2" s="801"/>
      <c r="K2" s="801"/>
      <c r="L2" s="80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02.6" customHeight="1" thickBot="1" x14ac:dyDescent="0.35">
      <c r="A3" s="936" t="s">
        <v>411</v>
      </c>
      <c r="B3" s="804" t="s">
        <v>12</v>
      </c>
      <c r="C3" s="11" t="s">
        <v>13</v>
      </c>
      <c r="D3" s="716">
        <f>D7+D9+D13+D17</f>
        <v>15817.0666</v>
      </c>
      <c r="E3" s="731">
        <f>E7+E9+E13+E17</f>
        <v>15812.63579</v>
      </c>
      <c r="F3" s="406">
        <f>E3/D3*100%</f>
        <v>0.99971987157214093</v>
      </c>
      <c r="G3" s="406">
        <v>100</v>
      </c>
      <c r="H3" s="730">
        <f>(H7*E7+H9*E9+H13*E13+H17*E17)/E3</f>
        <v>80</v>
      </c>
      <c r="I3" s="30">
        <f t="shared" ref="I3" si="0">IF(G3=100,25,IF((G3&gt;90)*(G3&lt;100),0,IF((G3&gt;70)*(G3&lt;90),-10,-25)))</f>
        <v>25</v>
      </c>
      <c r="J3" s="20">
        <f t="shared" ref="J3" si="1">IF((F3&gt;0)*(F3&lt;5),20,0)</f>
        <v>20</v>
      </c>
      <c r="K3" s="31">
        <f t="shared" ref="K3" si="2">IF(L3=1,60,30)</f>
        <v>60</v>
      </c>
      <c r="L3" s="14">
        <f>IF(SUM(N4:Q4)=SUM(N5:Q5),1,IF(SUM(N5:Q5)&gt;SUM(N4:Q4),1,2))</f>
        <v>1</v>
      </c>
      <c r="M3" s="83" t="s">
        <v>14</v>
      </c>
      <c r="N3" s="421" t="s">
        <v>332</v>
      </c>
      <c r="O3" s="416" t="s">
        <v>15</v>
      </c>
      <c r="P3" s="416" t="s">
        <v>16</v>
      </c>
      <c r="Q3" s="418" t="s">
        <v>17</v>
      </c>
      <c r="R3" s="379"/>
      <c r="S3" s="380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4.9" customHeight="1" x14ac:dyDescent="0.3">
      <c r="A4" s="937"/>
      <c r="B4" s="805"/>
      <c r="C4" s="16" t="s">
        <v>18</v>
      </c>
      <c r="D4" s="239">
        <f>D8+D10+D14+D18</f>
        <v>12020.955600000001</v>
      </c>
      <c r="E4" s="732">
        <f>E8+E10+E14+E18</f>
        <v>12016.524790000001</v>
      </c>
      <c r="F4" s="509"/>
      <c r="G4" s="509"/>
      <c r="H4" s="18"/>
      <c r="I4" s="30"/>
      <c r="J4" s="20"/>
      <c r="K4" s="31"/>
      <c r="L4" s="21"/>
      <c r="M4" s="381" t="s">
        <v>19</v>
      </c>
      <c r="N4" s="512">
        <v>3</v>
      </c>
      <c r="O4" s="513">
        <v>140228</v>
      </c>
      <c r="P4" s="513">
        <v>15</v>
      </c>
      <c r="Q4" s="457">
        <v>67</v>
      </c>
      <c r="R4" s="283"/>
      <c r="S4" s="283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54.9" customHeight="1" thickBot="1" x14ac:dyDescent="0.35">
      <c r="A5" s="937"/>
      <c r="B5" s="805"/>
      <c r="C5" s="16" t="s">
        <v>20</v>
      </c>
      <c r="D5" s="239">
        <f>D12+D15+D20</f>
        <v>3796.1109999999999</v>
      </c>
      <c r="E5" s="239">
        <f>E12+E15+E20</f>
        <v>3796.1109999999999</v>
      </c>
      <c r="F5" s="509"/>
      <c r="G5" s="509"/>
      <c r="H5" s="18"/>
      <c r="I5" s="30"/>
      <c r="J5" s="20"/>
      <c r="K5" s="31"/>
      <c r="L5" s="21"/>
      <c r="M5" s="382" t="s">
        <v>21</v>
      </c>
      <c r="N5" s="512">
        <v>3</v>
      </c>
      <c r="O5" s="513">
        <v>140228</v>
      </c>
      <c r="P5" s="512">
        <v>15</v>
      </c>
      <c r="Q5" s="457">
        <v>68</v>
      </c>
      <c r="R5" s="283"/>
      <c r="S5" s="283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54.9" customHeight="1" thickBot="1" x14ac:dyDescent="0.35">
      <c r="A6" s="938"/>
      <c r="B6" s="806"/>
      <c r="C6" s="22" t="s">
        <v>22</v>
      </c>
      <c r="D6" s="238">
        <f>D11</f>
        <v>0</v>
      </c>
      <c r="E6" s="238">
        <f>E11</f>
        <v>0</v>
      </c>
      <c r="F6" s="510"/>
      <c r="G6" s="510"/>
      <c r="H6" s="24"/>
      <c r="I6" s="30"/>
      <c r="J6" s="20"/>
      <c r="K6" s="31"/>
      <c r="L6" s="2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4.9" customHeight="1" x14ac:dyDescent="0.3">
      <c r="A7" s="939" t="s">
        <v>23</v>
      </c>
      <c r="B7" s="810" t="s">
        <v>24</v>
      </c>
      <c r="C7" s="63" t="s">
        <v>13</v>
      </c>
      <c r="D7" s="484">
        <f>D8</f>
        <v>158.39327</v>
      </c>
      <c r="E7" s="484">
        <f>E8</f>
        <v>158.39327</v>
      </c>
      <c r="F7" s="508">
        <f>E7/D7*100%</f>
        <v>1</v>
      </c>
      <c r="G7" s="508">
        <f>E7/D7*100</f>
        <v>100</v>
      </c>
      <c r="H7" s="651">
        <f>J7+K7</f>
        <v>80</v>
      </c>
      <c r="I7" s="30">
        <f>IF(G7=100,25,IF((G7&gt;90)*(G7&lt;100),0,IF((G7&gt;70)*(G7&lt;90),-10,-25)))</f>
        <v>25</v>
      </c>
      <c r="J7" s="20">
        <f t="shared" ref="J7" si="3">IF((F7&gt;0)*(F7&lt;5),20,0)</f>
        <v>20</v>
      </c>
      <c r="K7" s="31">
        <f>IF(L7=1,60,30)</f>
        <v>60</v>
      </c>
      <c r="L7" s="32">
        <f>IF(SUM(N4:Q4)=SUM(N5:Q5),1,IF(SUM(N5:Q5)&gt;SUM(N4:Q4),1,2))</f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4.9" customHeight="1" thickBot="1" x14ac:dyDescent="0.35">
      <c r="A8" s="940"/>
      <c r="B8" s="811"/>
      <c r="C8" s="466" t="s">
        <v>25</v>
      </c>
      <c r="D8" s="485">
        <v>158.39327</v>
      </c>
      <c r="E8" s="485">
        <v>158.39327</v>
      </c>
      <c r="F8" s="509"/>
      <c r="G8" s="508"/>
      <c r="H8" s="34"/>
      <c r="I8" s="19"/>
      <c r="J8" s="20"/>
      <c r="K8" s="20"/>
      <c r="L8" s="3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8.5" customHeight="1" x14ac:dyDescent="0.3">
      <c r="A9" s="941" t="s">
        <v>26</v>
      </c>
      <c r="B9" s="782" t="s">
        <v>27</v>
      </c>
      <c r="C9" s="33" t="s">
        <v>13</v>
      </c>
      <c r="D9" s="486">
        <f>D10+D11+D12</f>
        <v>3484.2060999999999</v>
      </c>
      <c r="E9" s="486">
        <f>E10+E11+E12</f>
        <v>3479.77529</v>
      </c>
      <c r="F9" s="509">
        <v>1</v>
      </c>
      <c r="G9" s="508">
        <v>100</v>
      </c>
      <c r="H9" s="652">
        <f>J9+K9</f>
        <v>80</v>
      </c>
      <c r="I9" s="19">
        <f>IF(G9=100,25,IF((G9&gt;90)*(G9&lt;100),0,IF((G9&gt;70)*(G9&lt;90),-10,-25)))</f>
        <v>25</v>
      </c>
      <c r="J9" s="20">
        <f>IF((F9&gt;0)*(F9&lt;5),20,0)</f>
        <v>20</v>
      </c>
      <c r="K9" s="20">
        <f>IF(L9=1,60,30)</f>
        <v>60</v>
      </c>
      <c r="L9" s="32">
        <f>IF(SUM(N4:Q4)=SUM(N5:Q5),1,IF(SUM(N5:Q5)&gt;SUM(N4:Q4),1,2))</f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8.5" customHeight="1" x14ac:dyDescent="0.3">
      <c r="A10" s="942"/>
      <c r="B10" s="807"/>
      <c r="C10" s="33" t="s">
        <v>25</v>
      </c>
      <c r="D10" s="487">
        <v>2633.8780999999999</v>
      </c>
      <c r="E10" s="487">
        <v>2629.4472900000001</v>
      </c>
      <c r="F10" s="509"/>
      <c r="G10" s="509"/>
      <c r="H10" s="34"/>
      <c r="I10" s="19"/>
      <c r="J10" s="20"/>
      <c r="K10" s="20"/>
      <c r="L10" s="3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36.75" customHeight="1" x14ac:dyDescent="0.3">
      <c r="A11" s="114"/>
      <c r="B11" s="807"/>
      <c r="C11" s="33" t="s">
        <v>28</v>
      </c>
      <c r="D11" s="485">
        <v>0</v>
      </c>
      <c r="E11" s="485">
        <v>0</v>
      </c>
      <c r="F11" s="509"/>
      <c r="G11" s="509"/>
      <c r="H11" s="34"/>
      <c r="I11" s="19"/>
      <c r="J11" s="20"/>
      <c r="K11" s="20"/>
      <c r="L11" s="3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31.5" customHeight="1" thickBot="1" x14ac:dyDescent="0.35">
      <c r="A12" s="943"/>
      <c r="B12" s="778"/>
      <c r="C12" s="33" t="s">
        <v>20</v>
      </c>
      <c r="D12" s="487">
        <v>850.32799999999997</v>
      </c>
      <c r="E12" s="487">
        <v>850.32799999999997</v>
      </c>
      <c r="F12" s="509"/>
      <c r="G12" s="509"/>
      <c r="H12" s="34"/>
      <c r="I12" s="19"/>
      <c r="J12" s="20"/>
      <c r="K12" s="20"/>
      <c r="L12" s="3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33.75" customHeight="1" x14ac:dyDescent="0.3">
      <c r="A13" s="939" t="s">
        <v>29</v>
      </c>
      <c r="B13" s="769" t="s">
        <v>30</v>
      </c>
      <c r="C13" s="33" t="s">
        <v>13</v>
      </c>
      <c r="D13" s="482">
        <f>D14+D15+D16</f>
        <v>9557.0468799999999</v>
      </c>
      <c r="E13" s="482">
        <f>E14+E15+E16</f>
        <v>9557.0468799999999</v>
      </c>
      <c r="F13" s="509">
        <f t="shared" ref="F13:F69" si="4">E13/D13*100%</f>
        <v>1</v>
      </c>
      <c r="G13" s="509">
        <f>E13/D13*100</f>
        <v>100</v>
      </c>
      <c r="H13" s="652">
        <f>J13+K13</f>
        <v>80</v>
      </c>
      <c r="I13" s="19">
        <f>IF(G13=100,25,IF((G13&gt;90)*(G13&lt;100),0,IF((G13&gt;70)*(G13&lt;90),-10,-25)))</f>
        <v>25</v>
      </c>
      <c r="J13" s="20">
        <f>IF((F13&gt;0)*(F13),20,0)</f>
        <v>20</v>
      </c>
      <c r="K13" s="20">
        <f>IF(L13=1,60,30)</f>
        <v>60</v>
      </c>
      <c r="L13" s="32">
        <f>IF(SUM(N4:Q4)=SUM(N5:Q5),1,IF(SUM(N5:Q5)&gt;SUM(N4:Q4),1,2))</f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31.5" customHeight="1" x14ac:dyDescent="0.3">
      <c r="A14" s="944"/>
      <c r="B14" s="769"/>
      <c r="C14" s="33" t="s">
        <v>25</v>
      </c>
      <c r="D14" s="487">
        <v>7138.9228800000001</v>
      </c>
      <c r="E14" s="487">
        <v>7138.9228800000001</v>
      </c>
      <c r="F14" s="509"/>
      <c r="G14" s="509"/>
      <c r="H14" s="34"/>
      <c r="I14" s="19"/>
      <c r="J14" s="20"/>
      <c r="K14" s="20"/>
      <c r="L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30" customHeight="1" x14ac:dyDescent="0.3">
      <c r="A15" s="944"/>
      <c r="B15" s="769"/>
      <c r="C15" s="33" t="s">
        <v>20</v>
      </c>
      <c r="D15" s="487">
        <v>2418.1239999999998</v>
      </c>
      <c r="E15" s="487">
        <v>2418.1239999999998</v>
      </c>
      <c r="F15" s="509"/>
      <c r="G15" s="509"/>
      <c r="H15" s="34"/>
      <c r="I15" s="19"/>
      <c r="J15" s="20"/>
      <c r="K15" s="20"/>
      <c r="L15" s="3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30" customHeight="1" thickBot="1" x14ac:dyDescent="0.35">
      <c r="A16" s="940"/>
      <c r="B16" s="769"/>
      <c r="C16" s="33" t="s">
        <v>31</v>
      </c>
      <c r="D16" s="482">
        <v>0</v>
      </c>
      <c r="E16" s="482">
        <v>0</v>
      </c>
      <c r="F16" s="509"/>
      <c r="G16" s="509"/>
      <c r="H16" s="34"/>
      <c r="I16" s="19"/>
      <c r="J16" s="20"/>
      <c r="K16" s="20"/>
      <c r="L16" s="3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39.75" customHeight="1" x14ac:dyDescent="0.3">
      <c r="A17" s="939" t="s">
        <v>32</v>
      </c>
      <c r="B17" s="769" t="s">
        <v>33</v>
      </c>
      <c r="C17" s="33" t="s">
        <v>13</v>
      </c>
      <c r="D17" s="482">
        <f>D18+D20+D19</f>
        <v>2617.4203500000003</v>
      </c>
      <c r="E17" s="482">
        <f>E18+E20+E19</f>
        <v>2617.4203500000003</v>
      </c>
      <c r="F17" s="509">
        <f t="shared" si="4"/>
        <v>1</v>
      </c>
      <c r="G17" s="509">
        <f>E17/D17*100</f>
        <v>100</v>
      </c>
      <c r="H17" s="652">
        <f>J17+K17</f>
        <v>80</v>
      </c>
      <c r="I17" s="19">
        <f>IF(G17=100,25,IF((G17&gt;90)*(G17&lt;100),0,IF((G17&gt;70)*(G17&lt;90),-10,-25)))</f>
        <v>25</v>
      </c>
      <c r="J17" s="20">
        <f t="shared" ref="J17" si="5">IF((F17&gt;0)*(F17),20,0)</f>
        <v>20</v>
      </c>
      <c r="K17" s="20">
        <f>IF(L17=1,60,30)</f>
        <v>60</v>
      </c>
      <c r="L17" s="32">
        <f>IF(SUM(N4:Q4)=SUM(N5:Q5),1,IF(SUM(N5:Q5)&gt;SUM(N4:Q4),1,2))</f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7.75" customHeight="1" x14ac:dyDescent="0.3">
      <c r="A18" s="944"/>
      <c r="B18" s="769"/>
      <c r="C18" s="33" t="s">
        <v>25</v>
      </c>
      <c r="D18" s="487">
        <v>2089.7613500000002</v>
      </c>
      <c r="E18" s="487">
        <v>2089.7613500000002</v>
      </c>
      <c r="F18" s="509"/>
      <c r="G18" s="509"/>
      <c r="H18" s="34"/>
      <c r="I18" s="19"/>
      <c r="J18" s="20"/>
      <c r="K18" s="20"/>
      <c r="L18" s="3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7.75" customHeight="1" x14ac:dyDescent="0.3">
      <c r="A19" s="944"/>
      <c r="B19" s="782"/>
      <c r="C19" s="33" t="s">
        <v>31</v>
      </c>
      <c r="D19" s="488">
        <v>0</v>
      </c>
      <c r="E19" s="488">
        <v>0</v>
      </c>
      <c r="F19" s="511"/>
      <c r="G19" s="511"/>
      <c r="H19" s="37"/>
      <c r="I19" s="38"/>
      <c r="J19" s="20"/>
      <c r="K19" s="39"/>
      <c r="L19" s="4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7.75" customHeight="1" thickBot="1" x14ac:dyDescent="0.35">
      <c r="A20" s="940"/>
      <c r="B20" s="782"/>
      <c r="C20" s="41" t="s">
        <v>20</v>
      </c>
      <c r="D20" s="488">
        <v>527.65899999999999</v>
      </c>
      <c r="E20" s="488">
        <v>527.65899999999999</v>
      </c>
      <c r="F20" s="511"/>
      <c r="G20" s="511"/>
      <c r="H20" s="37"/>
      <c r="I20" s="38"/>
      <c r="J20" s="39"/>
      <c r="K20" s="39"/>
      <c r="L20" s="4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7.25" customHeight="1" thickBot="1" x14ac:dyDescent="0.35">
      <c r="A21" s="945">
        <v>2</v>
      </c>
      <c r="B21" s="761" t="s">
        <v>34</v>
      </c>
      <c r="C21" s="11" t="s">
        <v>13</v>
      </c>
      <c r="D21" s="483">
        <f>D24</f>
        <v>33</v>
      </c>
      <c r="E21" s="483">
        <f>E24</f>
        <v>33</v>
      </c>
      <c r="F21" s="406">
        <f t="shared" si="4"/>
        <v>1</v>
      </c>
      <c r="G21" s="406">
        <f>E21/D21*100</f>
        <v>100</v>
      </c>
      <c r="H21" s="653">
        <f>(H24*E24)/E21</f>
        <v>80</v>
      </c>
      <c r="I21" s="403"/>
      <c r="J21" s="13"/>
      <c r="K21" s="404"/>
      <c r="L21" s="14">
        <f>IF(SUM(M22:Y22)=SUM(M23:Y23),1,2)</f>
        <v>1</v>
      </c>
      <c r="M21" s="432" t="s">
        <v>14</v>
      </c>
      <c r="N21" s="413" t="s">
        <v>35</v>
      </c>
      <c r="O21" s="418" t="s">
        <v>482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0" customHeight="1" x14ac:dyDescent="0.3">
      <c r="A22" s="946"/>
      <c r="B22" s="762"/>
      <c r="C22" s="16" t="s">
        <v>18</v>
      </c>
      <c r="D22" s="239">
        <f>D25</f>
        <v>33</v>
      </c>
      <c r="E22" s="239">
        <f>E25</f>
        <v>33</v>
      </c>
      <c r="F22" s="509"/>
      <c r="G22" s="509"/>
      <c r="H22" s="18"/>
      <c r="I22" s="19"/>
      <c r="J22" s="31"/>
      <c r="K22" s="20"/>
      <c r="L22" s="102"/>
      <c r="M22" s="261" t="s">
        <v>19</v>
      </c>
      <c r="N22" s="512">
        <v>625</v>
      </c>
      <c r="O22" s="513">
        <v>400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7.75" customHeight="1" thickBot="1" x14ac:dyDescent="0.35">
      <c r="A23" s="947"/>
      <c r="B23" s="763"/>
      <c r="C23" s="42"/>
      <c r="D23" s="489"/>
      <c r="E23" s="238"/>
      <c r="F23" s="510"/>
      <c r="G23" s="510"/>
      <c r="H23" s="24"/>
      <c r="I23" s="25"/>
      <c r="J23" s="26"/>
      <c r="K23" s="26"/>
      <c r="L23" s="386"/>
      <c r="M23" s="261" t="s">
        <v>21</v>
      </c>
      <c r="N23" s="512">
        <v>625</v>
      </c>
      <c r="O23" s="513">
        <v>400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5.75" customHeight="1" thickBot="1" x14ac:dyDescent="0.35">
      <c r="A24" s="941" t="s">
        <v>36</v>
      </c>
      <c r="B24" s="778" t="s">
        <v>37</v>
      </c>
      <c r="C24" s="43" t="s">
        <v>13</v>
      </c>
      <c r="D24" s="490">
        <f>D25</f>
        <v>33</v>
      </c>
      <c r="E24" s="490">
        <f>E25</f>
        <v>33</v>
      </c>
      <c r="F24" s="508">
        <f t="shared" si="4"/>
        <v>1</v>
      </c>
      <c r="G24" s="508">
        <f>E24/D24*100</f>
        <v>100</v>
      </c>
      <c r="H24" s="29">
        <f>J24+K24</f>
        <v>80</v>
      </c>
      <c r="I24" s="30">
        <f>IF(G24=100,25,IF((G24&gt;90)*(G24&lt;100),0,IF((G24&gt;70)*(G24&lt;90),-10,-25)))</f>
        <v>25</v>
      </c>
      <c r="J24" s="31">
        <f>IF((F24&gt;0)*(F24&lt;5),20,0)</f>
        <v>20</v>
      </c>
      <c r="K24" s="31">
        <f>IF(L24=1,60,30)</f>
        <v>60</v>
      </c>
      <c r="L24" s="32">
        <f>IF(SUM(M25:Y25)=SUM(M26:Y26),1,2)</f>
        <v>1</v>
      </c>
      <c r="M24" s="729" t="s">
        <v>14</v>
      </c>
      <c r="N24" s="419" t="s">
        <v>35</v>
      </c>
      <c r="O24" s="420" t="s">
        <v>482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31.5" customHeight="1" thickBot="1" x14ac:dyDescent="0.35">
      <c r="A25" s="948"/>
      <c r="B25" s="769"/>
      <c r="C25" s="44" t="s">
        <v>18</v>
      </c>
      <c r="D25" s="491">
        <v>33</v>
      </c>
      <c r="E25" s="491">
        <v>33</v>
      </c>
      <c r="F25" s="17"/>
      <c r="G25" s="17"/>
      <c r="H25" s="34"/>
      <c r="I25" s="19"/>
      <c r="J25" s="20"/>
      <c r="K25" s="20"/>
      <c r="L25" s="35"/>
      <c r="M25" s="269" t="s">
        <v>19</v>
      </c>
      <c r="N25" s="256">
        <v>625</v>
      </c>
      <c r="O25" s="256">
        <v>400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6" customHeight="1" thickBot="1" x14ac:dyDescent="0.35">
      <c r="A26" s="939" t="s">
        <v>413</v>
      </c>
      <c r="B26" s="770" t="s">
        <v>38</v>
      </c>
      <c r="C26" s="46" t="s">
        <v>13</v>
      </c>
      <c r="D26" s="779" t="s">
        <v>39</v>
      </c>
      <c r="E26" s="780"/>
      <c r="F26" s="780"/>
      <c r="G26" s="780"/>
      <c r="H26" s="780"/>
      <c r="I26" s="780"/>
      <c r="J26" s="780"/>
      <c r="K26" s="781"/>
      <c r="L26" s="47"/>
      <c r="M26" s="270" t="s">
        <v>21</v>
      </c>
      <c r="N26" s="256">
        <v>625</v>
      </c>
      <c r="O26" s="256">
        <v>400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26.25" customHeight="1" x14ac:dyDescent="0.3">
      <c r="A27" s="944"/>
      <c r="B27" s="770"/>
      <c r="C27" s="46" t="s">
        <v>18</v>
      </c>
      <c r="D27" s="48"/>
      <c r="E27" s="48"/>
      <c r="F27" s="49"/>
      <c r="G27" s="49"/>
      <c r="H27" s="75"/>
      <c r="I27" s="89"/>
      <c r="J27" s="47"/>
      <c r="K27" s="47"/>
      <c r="L27" s="4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6.25" customHeight="1" thickBot="1" x14ac:dyDescent="0.35">
      <c r="A28" s="940"/>
      <c r="B28" s="771"/>
      <c r="C28" s="50" t="s">
        <v>31</v>
      </c>
      <c r="D28" s="51"/>
      <c r="E28" s="51"/>
      <c r="F28" s="52"/>
      <c r="G28" s="52"/>
      <c r="H28" s="76"/>
      <c r="I28" s="384"/>
      <c r="J28" s="385"/>
      <c r="K28" s="385"/>
      <c r="L28" s="38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79.5" customHeight="1" thickBot="1" x14ac:dyDescent="0.35">
      <c r="A29" s="945">
        <v>3</v>
      </c>
      <c r="B29" s="761" t="s">
        <v>330</v>
      </c>
      <c r="C29" s="11" t="s">
        <v>13</v>
      </c>
      <c r="D29" s="253">
        <f>D31</f>
        <v>64.474800000000002</v>
      </c>
      <c r="E29" s="253">
        <f>E31</f>
        <v>64.474800000000002</v>
      </c>
      <c r="F29" s="406">
        <f t="shared" si="4"/>
        <v>1</v>
      </c>
      <c r="G29" s="406">
        <f>E29/D29*100</f>
        <v>100</v>
      </c>
      <c r="H29" s="271">
        <f>H31*E31/E29</f>
        <v>90</v>
      </c>
      <c r="I29" s="12"/>
      <c r="J29" s="13"/>
      <c r="K29" s="13"/>
      <c r="L29" s="409">
        <f>IF(SUM(M30:Y30)=SUM(M31:Y31),1,2)</f>
        <v>1</v>
      </c>
      <c r="M29" s="391" t="s">
        <v>14</v>
      </c>
      <c r="N29" s="418" t="s">
        <v>40</v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5"/>
      <c r="AA29" s="5"/>
      <c r="AB29" s="5"/>
      <c r="AC29" s="5"/>
      <c r="AD29" s="5"/>
    </row>
    <row r="30" spans="1:30" ht="37.5" customHeight="1" thickBot="1" x14ac:dyDescent="0.35">
      <c r="A30" s="947"/>
      <c r="B30" s="763"/>
      <c r="C30" s="53" t="s">
        <v>18</v>
      </c>
      <c r="D30" s="254">
        <f>D32</f>
        <v>64.474800000000002</v>
      </c>
      <c r="E30" s="254">
        <f>E32</f>
        <v>64.474800000000002</v>
      </c>
      <c r="F30" s="510"/>
      <c r="G30" s="510"/>
      <c r="H30" s="54"/>
      <c r="I30" s="25"/>
      <c r="J30" s="26"/>
      <c r="K30" s="26"/>
      <c r="L30" s="386"/>
      <c r="M30" s="389" t="s">
        <v>19</v>
      </c>
      <c r="N30" s="457">
        <v>1</v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5"/>
      <c r="AA30" s="5"/>
      <c r="AB30" s="5"/>
      <c r="AC30" s="5"/>
      <c r="AD30" s="5"/>
    </row>
    <row r="31" spans="1:30" ht="39" customHeight="1" thickBot="1" x14ac:dyDescent="0.35">
      <c r="A31" s="941" t="s">
        <v>41</v>
      </c>
      <c r="B31" s="778" t="s">
        <v>418</v>
      </c>
      <c r="C31" s="43" t="s">
        <v>13</v>
      </c>
      <c r="D31" s="614">
        <f>D32</f>
        <v>64.474800000000002</v>
      </c>
      <c r="E31" s="614">
        <f>E32</f>
        <v>64.474800000000002</v>
      </c>
      <c r="F31" s="508">
        <f t="shared" si="4"/>
        <v>1</v>
      </c>
      <c r="G31" s="508">
        <f>E31/D31*100</f>
        <v>100</v>
      </c>
      <c r="H31" s="29">
        <f>J31+K31+I31</f>
        <v>90</v>
      </c>
      <c r="I31" s="30">
        <f>IF(G31=100,25,IF((G31&gt;90)*(G31&lt;100),0,IF((G31&gt;70)*(G31&lt;90),-10,-25)))</f>
        <v>25</v>
      </c>
      <c r="J31" s="31">
        <f>IF((F31&gt;0)*(F31&lt;5),10,0)</f>
        <v>10</v>
      </c>
      <c r="K31" s="31">
        <f>IF(L31=1,55,10)</f>
        <v>55</v>
      </c>
      <c r="L31" s="410">
        <f>IF(SUM(N32:Y32)=SUM(N33:Y33),1,2)</f>
        <v>1</v>
      </c>
      <c r="M31" s="390" t="s">
        <v>21</v>
      </c>
      <c r="N31" s="455">
        <v>1</v>
      </c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5"/>
      <c r="AA31" s="5"/>
      <c r="AB31" s="5"/>
      <c r="AC31" s="5"/>
      <c r="AD31" s="5"/>
    </row>
    <row r="32" spans="1:30" ht="65.25" customHeight="1" thickBot="1" x14ac:dyDescent="0.35">
      <c r="A32" s="948"/>
      <c r="B32" s="782"/>
      <c r="C32" s="55" t="s">
        <v>18</v>
      </c>
      <c r="D32" s="615">
        <v>64.474800000000002</v>
      </c>
      <c r="E32" s="615">
        <v>64.474800000000002</v>
      </c>
      <c r="F32" s="36"/>
      <c r="G32" s="36"/>
      <c r="H32" s="37"/>
      <c r="I32" s="38"/>
      <c r="J32" s="39"/>
      <c r="K32" s="39"/>
      <c r="L32" s="388"/>
      <c r="M32" s="389" t="s">
        <v>19</v>
      </c>
      <c r="N32" s="455">
        <v>1</v>
      </c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5"/>
      <c r="AA32" s="5"/>
      <c r="AB32" s="5"/>
      <c r="AC32" s="5"/>
      <c r="AD32" s="5"/>
    </row>
    <row r="33" spans="1:39" ht="102" customHeight="1" thickBot="1" x14ac:dyDescent="0.35">
      <c r="A33" s="949" t="s">
        <v>169</v>
      </c>
      <c r="B33" s="378" t="s">
        <v>331</v>
      </c>
      <c r="C33" s="56" t="s">
        <v>13</v>
      </c>
      <c r="D33" s="783" t="s">
        <v>39</v>
      </c>
      <c r="E33" s="784"/>
      <c r="F33" s="784"/>
      <c r="G33" s="784"/>
      <c r="H33" s="784"/>
      <c r="I33" s="784"/>
      <c r="J33" s="784"/>
      <c r="K33" s="785"/>
      <c r="L33" s="400"/>
      <c r="M33" s="412" t="s">
        <v>21</v>
      </c>
      <c r="N33" s="514">
        <v>1</v>
      </c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5"/>
      <c r="AA33" s="5"/>
      <c r="AB33" s="5"/>
      <c r="AC33" s="5"/>
      <c r="AD33" s="5"/>
    </row>
    <row r="34" spans="1:39" ht="76.5" customHeight="1" thickBot="1" x14ac:dyDescent="0.35">
      <c r="A34" s="950">
        <v>4</v>
      </c>
      <c r="B34" s="255" t="s">
        <v>42</v>
      </c>
      <c r="C34" s="56" t="s">
        <v>13</v>
      </c>
      <c r="D34" s="783" t="s">
        <v>39</v>
      </c>
      <c r="E34" s="784"/>
      <c r="F34" s="784"/>
      <c r="G34" s="784"/>
      <c r="H34" s="784"/>
      <c r="I34" s="784"/>
      <c r="J34" s="784"/>
      <c r="K34" s="785"/>
      <c r="L34" s="411">
        <f>IF(O35=P35,1,2)</f>
        <v>1</v>
      </c>
      <c r="M34" s="83" t="s">
        <v>43</v>
      </c>
      <c r="N34" s="413" t="s">
        <v>44</v>
      </c>
      <c r="O34" s="414" t="s">
        <v>19</v>
      </c>
      <c r="P34" s="415" t="s">
        <v>21</v>
      </c>
      <c r="Q34" s="57"/>
      <c r="T34" s="57"/>
      <c r="U34" s="57"/>
      <c r="V34" s="57"/>
      <c r="W34" s="257"/>
      <c r="X34" s="57"/>
      <c r="Y34" s="57"/>
      <c r="Z34" s="57"/>
      <c r="AA34" s="57"/>
      <c r="AB34" s="57"/>
      <c r="AC34" s="57"/>
      <c r="AD34" s="57"/>
      <c r="AE34" s="58"/>
      <c r="AF34" s="58"/>
      <c r="AG34" s="58"/>
      <c r="AH34" s="58"/>
      <c r="AI34" s="58"/>
      <c r="AJ34" s="58"/>
      <c r="AK34" s="58"/>
    </row>
    <row r="35" spans="1:39" ht="80.25" customHeight="1" thickBot="1" x14ac:dyDescent="0.35">
      <c r="A35" s="941" t="s">
        <v>45</v>
      </c>
      <c r="B35" s="786" t="s">
        <v>46</v>
      </c>
      <c r="C35" s="59" t="s">
        <v>13</v>
      </c>
      <c r="D35" s="787" t="s">
        <v>39</v>
      </c>
      <c r="E35" s="788"/>
      <c r="F35" s="788"/>
      <c r="G35" s="788"/>
      <c r="H35" s="788"/>
      <c r="I35" s="788"/>
      <c r="J35" s="788"/>
      <c r="K35" s="789"/>
      <c r="L35" s="387"/>
      <c r="M35" s="83" t="s">
        <v>47</v>
      </c>
      <c r="N35" s="417" t="s">
        <v>48</v>
      </c>
      <c r="O35" s="90">
        <v>5.0999999999999996</v>
      </c>
      <c r="P35" s="90">
        <v>5.0999999999999996</v>
      </c>
      <c r="Q35" s="5"/>
      <c r="U35" s="5"/>
      <c r="V35" s="5"/>
      <c r="W35" s="103"/>
      <c r="X35" s="5"/>
      <c r="Y35" s="5"/>
      <c r="Z35" s="5"/>
      <c r="AA35" s="5"/>
      <c r="AB35" s="5"/>
      <c r="AC35" s="5"/>
      <c r="AD35" s="5"/>
    </row>
    <row r="36" spans="1:39" ht="27.75" customHeight="1" x14ac:dyDescent="0.3">
      <c r="A36" s="942"/>
      <c r="B36" s="770"/>
      <c r="C36" s="46"/>
      <c r="D36" s="60"/>
      <c r="E36" s="60"/>
      <c r="F36" s="49"/>
      <c r="G36" s="49"/>
      <c r="H36" s="75"/>
      <c r="I36" s="89"/>
      <c r="J36" s="47"/>
      <c r="K36" s="47"/>
      <c r="L36" s="47"/>
      <c r="M36" s="5"/>
      <c r="N36" s="5"/>
      <c r="O36" s="5"/>
      <c r="P36" s="5"/>
      <c r="Q36" s="5"/>
      <c r="R36" s="103"/>
      <c r="U36" s="5"/>
      <c r="V36" s="5"/>
      <c r="W36" s="103"/>
      <c r="X36" s="5"/>
      <c r="Y36" s="5"/>
      <c r="Z36" s="5"/>
      <c r="AA36" s="5"/>
      <c r="AB36" s="5"/>
      <c r="AC36" s="5"/>
      <c r="AD36" s="5"/>
    </row>
    <row r="37" spans="1:39" ht="27.75" customHeight="1" thickBot="1" x14ac:dyDescent="0.35">
      <c r="A37" s="948"/>
      <c r="B37" s="771"/>
      <c r="C37" s="50"/>
      <c r="D37" s="51"/>
      <c r="E37" s="51"/>
      <c r="F37" s="52"/>
      <c r="G37" s="52"/>
      <c r="H37" s="76"/>
      <c r="I37" s="384"/>
      <c r="J37" s="385"/>
      <c r="K37" s="385"/>
      <c r="L37" s="38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9" ht="130.5" customHeight="1" thickBot="1" x14ac:dyDescent="0.35">
      <c r="A38" s="945">
        <v>5</v>
      </c>
      <c r="B38" s="761" t="s">
        <v>49</v>
      </c>
      <c r="C38" s="11" t="s">
        <v>13</v>
      </c>
      <c r="D38" s="483">
        <f>D41+D45</f>
        <v>715.7</v>
      </c>
      <c r="E38" s="483">
        <f>E41+E45</f>
        <v>715.7</v>
      </c>
      <c r="F38" s="406">
        <f t="shared" si="4"/>
        <v>1</v>
      </c>
      <c r="G38" s="406">
        <f>E38/D38*100</f>
        <v>100</v>
      </c>
      <c r="H38" s="449">
        <f>(H41*E41+H45*E45)/E38</f>
        <v>76.576777979600379</v>
      </c>
      <c r="I38" s="12"/>
      <c r="J38" s="13"/>
      <c r="K38" s="13"/>
      <c r="L38" s="409">
        <f>IF(SUM(M39:Q39)=SUM(M40:Q40),1,2)</f>
        <v>1</v>
      </c>
      <c r="M38" s="83" t="s">
        <v>14</v>
      </c>
      <c r="N38" s="416" t="s">
        <v>50</v>
      </c>
      <c r="O38" s="416" t="s">
        <v>51</v>
      </c>
      <c r="P38" s="416" t="s">
        <v>52</v>
      </c>
      <c r="Q38" s="426" t="s">
        <v>357</v>
      </c>
      <c r="R38" s="427" t="s">
        <v>356</v>
      </c>
      <c r="S38" s="416" t="s">
        <v>53</v>
      </c>
      <c r="T38" s="424" t="s">
        <v>54</v>
      </c>
      <c r="U38" s="427" t="s">
        <v>358</v>
      </c>
      <c r="V38" s="428" t="s">
        <v>360</v>
      </c>
      <c r="AB38" s="5"/>
      <c r="AC38" s="257"/>
      <c r="AD38" s="257"/>
      <c r="AE38" s="257"/>
      <c r="AF38" s="257"/>
      <c r="AG38" s="257"/>
    </row>
    <row r="39" spans="1:39" ht="31.5" customHeight="1" thickBot="1" x14ac:dyDescent="0.35">
      <c r="A39" s="950"/>
      <c r="B39" s="762"/>
      <c r="C39" s="16" t="s">
        <v>18</v>
      </c>
      <c r="D39" s="492">
        <f>D42+D46</f>
        <v>715.7</v>
      </c>
      <c r="E39" s="492">
        <f>E42+E46</f>
        <v>715.7</v>
      </c>
      <c r="F39" s="509"/>
      <c r="G39" s="509"/>
      <c r="H39" s="18"/>
      <c r="I39" s="19"/>
      <c r="J39" s="20"/>
      <c r="K39" s="20"/>
      <c r="L39" s="102"/>
      <c r="M39" s="392" t="s">
        <v>19</v>
      </c>
      <c r="N39" s="513">
        <v>8.6</v>
      </c>
      <c r="O39" s="513"/>
      <c r="P39" s="256"/>
      <c r="Q39" s="256">
        <v>1</v>
      </c>
      <c r="R39" s="256">
        <v>100</v>
      </c>
      <c r="S39" s="513"/>
      <c r="T39" s="256"/>
      <c r="U39" s="256">
        <v>1</v>
      </c>
      <c r="V39" s="515">
        <v>634.6</v>
      </c>
      <c r="AB39" s="5"/>
      <c r="AC39" s="262"/>
      <c r="AD39" s="262"/>
      <c r="AE39" s="262"/>
      <c r="AF39" s="262"/>
      <c r="AG39" s="262"/>
    </row>
    <row r="40" spans="1:39" ht="24.75" customHeight="1" thickBot="1" x14ac:dyDescent="0.35">
      <c r="A40" s="947"/>
      <c r="B40" s="763"/>
      <c r="C40" s="53"/>
      <c r="D40" s="71"/>
      <c r="E40" s="71"/>
      <c r="F40" s="510"/>
      <c r="G40" s="510"/>
      <c r="H40" s="54"/>
      <c r="I40" s="25"/>
      <c r="J40" s="26"/>
      <c r="K40" s="26"/>
      <c r="L40" s="386"/>
      <c r="M40" s="84" t="s">
        <v>21</v>
      </c>
      <c r="N40" s="256">
        <v>8.6</v>
      </c>
      <c r="O40" s="513"/>
      <c r="P40" s="256"/>
      <c r="Q40" s="256">
        <v>1</v>
      </c>
      <c r="R40" s="256">
        <v>0</v>
      </c>
      <c r="S40" s="256"/>
      <c r="T40" s="256"/>
      <c r="U40" s="256">
        <v>1</v>
      </c>
      <c r="V40" s="515">
        <v>641.1</v>
      </c>
      <c r="AB40" s="5"/>
      <c r="AC40" s="262"/>
      <c r="AD40" s="262"/>
      <c r="AE40" s="262"/>
      <c r="AF40" s="262"/>
      <c r="AG40" s="262"/>
    </row>
    <row r="41" spans="1:39" ht="102" customHeight="1" thickBot="1" x14ac:dyDescent="0.35">
      <c r="A41" s="941" t="s">
        <v>55</v>
      </c>
      <c r="B41" s="63" t="s">
        <v>59</v>
      </c>
      <c r="C41" s="64" t="s">
        <v>13</v>
      </c>
      <c r="D41" s="64">
        <f>D42</f>
        <v>645.70000000000005</v>
      </c>
      <c r="E41" s="64">
        <f>E42</f>
        <v>645.70000000000005</v>
      </c>
      <c r="F41" s="508">
        <f t="shared" si="4"/>
        <v>1</v>
      </c>
      <c r="G41" s="508">
        <f>E41/D41*100</f>
        <v>100</v>
      </c>
      <c r="H41" s="29">
        <f>J41+K41</f>
        <v>80</v>
      </c>
      <c r="I41" s="30">
        <f>IF(G41=100,25,IF((G41&gt;90)*(G41&lt;100),0,IF((G41&gt;70)*(G41&lt;90),-10,-25)))</f>
        <v>25</v>
      </c>
      <c r="J41" s="31">
        <f>IF((F41&gt;0)*(F41&lt;5),20,0)</f>
        <v>20</v>
      </c>
      <c r="K41" s="31">
        <f>IF(L41=1,60,30)</f>
        <v>60</v>
      </c>
      <c r="L41" s="410">
        <f>IF(SUM(M41:Y41)=SUM(M42:Y42),1,IF(SUM(M41:Y41)&gt;SUM(M42:Y42),1,2))</f>
        <v>1</v>
      </c>
      <c r="M41" s="84" t="s">
        <v>19</v>
      </c>
      <c r="N41" s="256">
        <v>8.6</v>
      </c>
      <c r="O41" s="513">
        <v>100</v>
      </c>
      <c r="P41" s="256">
        <v>100</v>
      </c>
      <c r="Q41" s="256"/>
      <c r="R41" s="516"/>
      <c r="S41" s="516"/>
      <c r="T41" s="516"/>
      <c r="U41" s="516"/>
      <c r="V41" s="517"/>
      <c r="W41" s="106"/>
      <c r="X41" s="106"/>
      <c r="Y41" s="5"/>
      <c r="Z41" s="5"/>
      <c r="AA41" s="5"/>
      <c r="AB41" s="5"/>
      <c r="AC41" s="5"/>
      <c r="AD41" s="5"/>
    </row>
    <row r="42" spans="1:39" ht="24.75" customHeight="1" thickBot="1" x14ac:dyDescent="0.35">
      <c r="A42" s="942"/>
      <c r="B42" s="65"/>
      <c r="C42" s="66" t="s">
        <v>18</v>
      </c>
      <c r="D42" s="66">
        <v>645.70000000000005</v>
      </c>
      <c r="E42" s="66">
        <v>645.70000000000005</v>
      </c>
      <c r="F42" s="17"/>
      <c r="G42" s="17"/>
      <c r="H42" s="34"/>
      <c r="I42" s="19"/>
      <c r="J42" s="20"/>
      <c r="K42" s="20"/>
      <c r="L42" s="102"/>
      <c r="M42" s="84" t="s">
        <v>21</v>
      </c>
      <c r="N42" s="256">
        <v>8.6</v>
      </c>
      <c r="O42" s="513">
        <v>100</v>
      </c>
      <c r="P42" s="256">
        <v>100</v>
      </c>
      <c r="Q42" s="256"/>
      <c r="R42" s="516"/>
      <c r="S42" s="516"/>
      <c r="T42" s="516"/>
      <c r="U42" s="516"/>
      <c r="V42" s="517"/>
      <c r="W42" s="106"/>
      <c r="X42" s="106"/>
      <c r="Y42" s="5"/>
      <c r="Z42" s="5"/>
      <c r="AA42" s="5"/>
      <c r="AB42" s="5"/>
      <c r="AC42" s="5"/>
      <c r="AD42" s="5"/>
    </row>
    <row r="43" spans="1:39" ht="30" customHeight="1" thickBot="1" x14ac:dyDescent="0.35">
      <c r="A43" s="942" t="s">
        <v>57</v>
      </c>
      <c r="B43" s="756" t="s">
        <v>359</v>
      </c>
      <c r="C43" s="377" t="s">
        <v>13</v>
      </c>
      <c r="D43" s="790" t="s">
        <v>39</v>
      </c>
      <c r="E43" s="791"/>
      <c r="F43" s="791"/>
      <c r="G43" s="791"/>
      <c r="H43" s="792"/>
      <c r="I43" s="89"/>
      <c r="J43" s="47"/>
      <c r="K43" s="47"/>
      <c r="L43" s="400"/>
      <c r="M43" s="84" t="s">
        <v>19</v>
      </c>
      <c r="N43" s="518"/>
      <c r="O43" s="516"/>
      <c r="P43" s="256"/>
      <c r="Q43" s="256"/>
      <c r="R43" s="256"/>
      <c r="S43" s="256"/>
      <c r="T43" s="516"/>
      <c r="U43" s="516"/>
      <c r="V43" s="517"/>
      <c r="W43" s="106"/>
      <c r="X43" s="106"/>
      <c r="Y43" s="5"/>
      <c r="Z43" s="5"/>
      <c r="AA43" s="5"/>
      <c r="AB43" s="5"/>
      <c r="AC43" s="5"/>
      <c r="AD43" s="5"/>
    </row>
    <row r="44" spans="1:39" ht="38.25" customHeight="1" thickBot="1" x14ac:dyDescent="0.35">
      <c r="A44" s="948"/>
      <c r="B44" s="756"/>
      <c r="C44" s="377" t="s">
        <v>18</v>
      </c>
      <c r="D44" s="793"/>
      <c r="E44" s="794"/>
      <c r="F44" s="794"/>
      <c r="G44" s="794"/>
      <c r="H44" s="795"/>
      <c r="I44" s="89"/>
      <c r="J44" s="47"/>
      <c r="K44" s="47"/>
      <c r="L44" s="400"/>
      <c r="M44" s="84" t="s">
        <v>21</v>
      </c>
      <c r="N44" s="518"/>
      <c r="O44" s="516"/>
      <c r="P44" s="256"/>
      <c r="Q44" s="256"/>
      <c r="R44" s="256"/>
      <c r="S44" s="256"/>
      <c r="T44" s="516"/>
      <c r="U44" s="516"/>
      <c r="V44" s="517"/>
      <c r="W44" s="260"/>
      <c r="X44" s="260"/>
      <c r="Y44" s="5"/>
      <c r="Z44" s="5"/>
      <c r="AA44" s="5"/>
      <c r="AB44" s="5"/>
      <c r="AC44" s="5"/>
      <c r="AD44" s="5"/>
    </row>
    <row r="45" spans="1:39" ht="33" customHeight="1" thickBot="1" x14ac:dyDescent="0.35">
      <c r="A45" s="939" t="s">
        <v>58</v>
      </c>
      <c r="B45" s="776" t="s">
        <v>56</v>
      </c>
      <c r="C45" s="66" t="s">
        <v>13</v>
      </c>
      <c r="D45" s="96">
        <f>D46</f>
        <v>70</v>
      </c>
      <c r="E45" s="96">
        <f>E46</f>
        <v>70</v>
      </c>
      <c r="F45" s="509">
        <f t="shared" si="4"/>
        <v>1</v>
      </c>
      <c r="G45" s="509">
        <f>E45/D45*100</f>
        <v>100</v>
      </c>
      <c r="H45" s="34">
        <f>J45+K45+I45</f>
        <v>45</v>
      </c>
      <c r="I45" s="19">
        <f>IF(G45=100,25,IF((G45&gt;90)*(G45&lt;100),0,IF((G45&gt;70)*(G45&lt;90),-10,-25)))</f>
        <v>25</v>
      </c>
      <c r="J45" s="20">
        <f>IF((F45&gt;0)*(F45&lt;5),10,0)</f>
        <v>10</v>
      </c>
      <c r="K45" s="20">
        <f>IF(L45=1,55,10)</f>
        <v>10</v>
      </c>
      <c r="L45" s="102">
        <f>IF(SUM(M45:Y45)=SUM(M46:Y46),1,2)</f>
        <v>2</v>
      </c>
      <c r="M45" s="84" t="s">
        <v>19</v>
      </c>
      <c r="N45" s="518"/>
      <c r="O45" s="516"/>
      <c r="P45" s="516"/>
      <c r="Q45" s="516"/>
      <c r="R45" s="516"/>
      <c r="S45" s="256">
        <v>4</v>
      </c>
      <c r="T45" s="256">
        <v>4</v>
      </c>
      <c r="U45" s="256"/>
      <c r="V45" s="455"/>
      <c r="W45" s="260"/>
      <c r="X45" s="260"/>
      <c r="Y45" s="5"/>
      <c r="Z45" s="5"/>
      <c r="AA45" s="5"/>
      <c r="AB45" s="5"/>
      <c r="AC45" s="5"/>
      <c r="AD45" s="5"/>
    </row>
    <row r="46" spans="1:39" ht="57" customHeight="1" thickBot="1" x14ac:dyDescent="0.35">
      <c r="A46" s="940"/>
      <c r="B46" s="777"/>
      <c r="C46" s="67" t="s">
        <v>18</v>
      </c>
      <c r="D46" s="696">
        <v>70</v>
      </c>
      <c r="E46" s="696">
        <v>70</v>
      </c>
      <c r="F46" s="509"/>
      <c r="G46" s="36"/>
      <c r="H46" s="37"/>
      <c r="I46" s="38"/>
      <c r="J46" s="39"/>
      <c r="K46" s="20"/>
      <c r="L46" s="388"/>
      <c r="M46" s="84" t="s">
        <v>21</v>
      </c>
      <c r="N46" s="519"/>
      <c r="O46" s="520"/>
      <c r="P46" s="520"/>
      <c r="Q46" s="520"/>
      <c r="R46" s="520"/>
      <c r="S46" s="521">
        <v>4</v>
      </c>
      <c r="T46" s="521">
        <v>0</v>
      </c>
      <c r="U46" s="521"/>
      <c r="V46" s="456"/>
      <c r="W46" s="260"/>
      <c r="X46" s="260"/>
      <c r="Y46" s="5"/>
      <c r="Z46" s="5"/>
      <c r="AA46" s="5"/>
      <c r="AB46" s="5"/>
      <c r="AC46" s="5"/>
      <c r="AD46" s="5"/>
    </row>
    <row r="47" spans="1:39" ht="135.75" customHeight="1" thickBot="1" x14ac:dyDescent="0.35">
      <c r="A47" s="945">
        <v>6</v>
      </c>
      <c r="B47" s="761" t="s">
        <v>60</v>
      </c>
      <c r="C47" s="11" t="s">
        <v>13</v>
      </c>
      <c r="D47" s="483">
        <f>D50+D53</f>
        <v>10450.266299999999</v>
      </c>
      <c r="E47" s="483">
        <f>E50+E53</f>
        <v>10127.92288</v>
      </c>
      <c r="F47" s="986">
        <f>(1131-297.02035)/D47*100</f>
        <v>7.9804631390111087</v>
      </c>
      <c r="G47" s="987">
        <f>E47/D47*100</f>
        <v>96.915452575596092</v>
      </c>
      <c r="H47" s="271">
        <f>(H50*E50+H53*E53)/E47</f>
        <v>70.947874516200898</v>
      </c>
      <c r="I47" s="12">
        <f t="shared" ref="I47" si="6">IF(G47=100,25,IF((G47&gt;90)*(G47&lt;100),0,IF((G47&gt;70)*(G47&lt;90),-10,-25)))</f>
        <v>0</v>
      </c>
      <c r="J47" s="13">
        <f t="shared" ref="J47" si="7">IF((F47&gt;0)*(F47&lt;5),10,15)</f>
        <v>15</v>
      </c>
      <c r="K47" s="20">
        <f t="shared" ref="K47" si="8">IF(L47=1,55,10)</f>
        <v>55</v>
      </c>
      <c r="L47" s="14">
        <f>IF(SUM(N48:P48)=SUM(N49:P49),1,IF(SUM(N48:P48)&lt;SUM(N49:P49),1,2))</f>
        <v>1</v>
      </c>
      <c r="M47" s="83" t="s">
        <v>14</v>
      </c>
      <c r="N47" s="421" t="s">
        <v>361</v>
      </c>
      <c r="O47" s="422" t="s">
        <v>362</v>
      </c>
      <c r="P47" s="416" t="s">
        <v>363</v>
      </c>
      <c r="Q47" s="416" t="s">
        <v>364</v>
      </c>
      <c r="R47" s="416" t="s">
        <v>365</v>
      </c>
      <c r="S47" s="416" t="s">
        <v>366</v>
      </c>
      <c r="T47" s="397" t="s">
        <v>367</v>
      </c>
      <c r="U47" s="397" t="s">
        <v>423</v>
      </c>
      <c r="V47" s="397" t="s">
        <v>424</v>
      </c>
      <c r="W47" s="397" t="s">
        <v>425</v>
      </c>
      <c r="X47" s="397" t="s">
        <v>422</v>
      </c>
      <c r="Y47" s="424" t="s">
        <v>369</v>
      </c>
      <c r="Z47" s="424" t="s">
        <v>370</v>
      </c>
      <c r="AA47" s="416" t="s">
        <v>371</v>
      </c>
      <c r="AB47" s="416" t="s">
        <v>372</v>
      </c>
      <c r="AC47" s="416" t="s">
        <v>373</v>
      </c>
      <c r="AD47" s="416" t="s">
        <v>374</v>
      </c>
      <c r="AE47" s="416" t="s">
        <v>375</v>
      </c>
      <c r="AF47" s="418" t="s">
        <v>368</v>
      </c>
      <c r="AG47" s="420" t="s">
        <v>376</v>
      </c>
      <c r="AH47" s="423" t="s">
        <v>377</v>
      </c>
      <c r="AI47" s="424" t="s">
        <v>378</v>
      </c>
      <c r="AJ47" s="425" t="s">
        <v>379</v>
      </c>
    </row>
    <row r="48" spans="1:39" ht="28.5" customHeight="1" thickBot="1" x14ac:dyDescent="0.35">
      <c r="A48" s="951"/>
      <c r="B48" s="762"/>
      <c r="C48" s="16" t="s">
        <v>25</v>
      </c>
      <c r="D48" s="239">
        <f>D51+D54</f>
        <v>3024.4894100000001</v>
      </c>
      <c r="E48" s="239">
        <f>E51+E54</f>
        <v>3008.3722400000001</v>
      </c>
      <c r="F48" s="509"/>
      <c r="G48" s="17"/>
      <c r="H48" s="18"/>
      <c r="I48" s="19"/>
      <c r="J48" s="31"/>
      <c r="K48" s="20"/>
      <c r="L48" s="14"/>
      <c r="M48" s="392" t="s">
        <v>19</v>
      </c>
      <c r="N48" s="512">
        <v>303.8</v>
      </c>
      <c r="O48" s="513">
        <v>303.8</v>
      </c>
      <c r="P48" s="513">
        <v>53</v>
      </c>
      <c r="Q48" s="513">
        <v>303.8</v>
      </c>
      <c r="R48" s="513">
        <v>918</v>
      </c>
      <c r="S48" s="972">
        <v>14</v>
      </c>
      <c r="T48" s="513">
        <v>20.335470000000001</v>
      </c>
      <c r="U48" s="513">
        <v>0.17799999999999999</v>
      </c>
      <c r="V48" s="513">
        <v>0.31900000000000001</v>
      </c>
      <c r="W48" s="513">
        <v>0.51500000000000001</v>
      </c>
      <c r="X48" s="513">
        <v>0.17799999999999999</v>
      </c>
      <c r="Y48" s="256">
        <v>0</v>
      </c>
      <c r="Z48" s="256">
        <v>0</v>
      </c>
      <c r="AA48" s="256">
        <v>0</v>
      </c>
      <c r="AB48" s="256">
        <v>0</v>
      </c>
      <c r="AC48" s="256">
        <v>0</v>
      </c>
      <c r="AD48" s="256">
        <v>0</v>
      </c>
      <c r="AE48" s="256">
        <v>0</v>
      </c>
      <c r="AF48" s="256">
        <v>0</v>
      </c>
      <c r="AG48" s="256">
        <v>0</v>
      </c>
      <c r="AH48" s="256">
        <v>0</v>
      </c>
      <c r="AI48" s="256">
        <v>0</v>
      </c>
      <c r="AJ48" s="256">
        <v>0</v>
      </c>
      <c r="AK48" s="58"/>
      <c r="AL48" s="58"/>
      <c r="AM48" s="58"/>
    </row>
    <row r="49" spans="1:39" ht="27.75" customHeight="1" thickBot="1" x14ac:dyDescent="0.35">
      <c r="A49" s="947"/>
      <c r="B49" s="763"/>
      <c r="C49" s="68" t="s">
        <v>20</v>
      </c>
      <c r="D49" s="238">
        <f>D52</f>
        <v>7425.7768900000001</v>
      </c>
      <c r="E49" s="238">
        <f>E52</f>
        <v>7119.5506400000004</v>
      </c>
      <c r="F49" s="509"/>
      <c r="G49" s="23"/>
      <c r="H49" s="54"/>
      <c r="I49" s="25"/>
      <c r="J49" s="464"/>
      <c r="K49" s="26"/>
      <c r="L49" s="14"/>
      <c r="M49" s="84" t="s">
        <v>21</v>
      </c>
      <c r="N49" s="522">
        <v>303.8</v>
      </c>
      <c r="O49" s="521">
        <v>303.8</v>
      </c>
      <c r="P49" s="513">
        <v>53</v>
      </c>
      <c r="Q49" s="521">
        <v>303.8</v>
      </c>
      <c r="R49" s="521">
        <v>918</v>
      </c>
      <c r="S49" s="973">
        <v>3</v>
      </c>
      <c r="T49" s="523">
        <v>20.34027</v>
      </c>
      <c r="U49" s="523">
        <v>0.18279999999999999</v>
      </c>
      <c r="V49" s="523">
        <v>0.315</v>
      </c>
      <c r="W49" s="523">
        <v>0.97650000000000003</v>
      </c>
      <c r="X49" s="523">
        <v>0.18279999999999999</v>
      </c>
      <c r="Y49" s="521">
        <v>0</v>
      </c>
      <c r="Z49" s="256">
        <v>0</v>
      </c>
      <c r="AA49" s="256">
        <v>0</v>
      </c>
      <c r="AB49" s="256">
        <v>0</v>
      </c>
      <c r="AC49" s="256">
        <v>0</v>
      </c>
      <c r="AD49" s="256">
        <v>0</v>
      </c>
      <c r="AE49" s="256">
        <v>0</v>
      </c>
      <c r="AF49" s="256">
        <v>0</v>
      </c>
      <c r="AG49" s="256">
        <v>0</v>
      </c>
      <c r="AH49" s="256">
        <v>0</v>
      </c>
      <c r="AI49" s="256">
        <v>0</v>
      </c>
      <c r="AJ49" s="256">
        <v>0</v>
      </c>
      <c r="AK49" s="58"/>
      <c r="AL49" s="58"/>
      <c r="AM49" s="58"/>
    </row>
    <row r="50" spans="1:39" ht="97.5" customHeight="1" thickBot="1" x14ac:dyDescent="0.35">
      <c r="A50" s="941" t="s">
        <v>61</v>
      </c>
      <c r="B50" s="778" t="s">
        <v>62</v>
      </c>
      <c r="C50" s="43" t="s">
        <v>13</v>
      </c>
      <c r="D50" s="500">
        <f>D51+D52</f>
        <v>9970.2662999999993</v>
      </c>
      <c r="E50" s="500">
        <f>E51+E52</f>
        <v>9647.9228800000001</v>
      </c>
      <c r="F50" s="509">
        <f>(1131-297.02035)/9970.2663*100</f>
        <v>8.3646677521542223</v>
      </c>
      <c r="G50" s="508">
        <f>E50/D50*100</f>
        <v>96.766952754311092</v>
      </c>
      <c r="H50" s="29">
        <f>I50+J50+K50</f>
        <v>70</v>
      </c>
      <c r="I50" s="30">
        <f>IF(G50=100,25,IF((G50&gt;90)*(G50&lt;100),0,IF((G50&gt;70)*(G50&lt;90),-10,-25)))</f>
        <v>0</v>
      </c>
      <c r="J50" s="31">
        <f>IF((F50&gt;0)*(F50&lt;5),10,15)</f>
        <v>15</v>
      </c>
      <c r="K50" s="31">
        <f t="shared" ref="K50:K69" si="9">IF(L50=1,55,10)</f>
        <v>55</v>
      </c>
      <c r="L50" s="14">
        <f t="shared" ref="L50" si="10">IF(SUM(N51:P51)=SUM(N52:P52),1,IF(SUM(N51:P51)&lt;SUM(N52:P52),1,2))</f>
        <v>1</v>
      </c>
      <c r="M50" s="83" t="s">
        <v>14</v>
      </c>
      <c r="N50" s="429" t="s">
        <v>63</v>
      </c>
      <c r="O50" s="430" t="s">
        <v>64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9" ht="31.5" customHeight="1" thickBot="1" x14ac:dyDescent="0.35">
      <c r="A51" s="942"/>
      <c r="B51" s="769"/>
      <c r="C51" s="44" t="s">
        <v>18</v>
      </c>
      <c r="D51" s="493">
        <v>2544.4894100000001</v>
      </c>
      <c r="E51" s="493">
        <v>2528.3722400000001</v>
      </c>
      <c r="F51" s="509"/>
      <c r="G51" s="17"/>
      <c r="H51" s="34"/>
      <c r="I51" s="19"/>
      <c r="J51" s="20"/>
      <c r="K51" s="20"/>
      <c r="L51" s="102"/>
      <c r="M51" s="389" t="s">
        <v>19</v>
      </c>
      <c r="N51" s="256">
        <v>20.9</v>
      </c>
      <c r="O51" s="457">
        <v>19</v>
      </c>
      <c r="Q51" s="5"/>
      <c r="R51" s="5"/>
      <c r="S51" s="5"/>
      <c r="T51" s="5"/>
      <c r="U51" s="257"/>
      <c r="V51" s="257"/>
      <c r="W51" s="5"/>
      <c r="X51" s="5"/>
      <c r="Y51" s="5"/>
      <c r="Z51" s="5"/>
      <c r="AA51" s="5"/>
      <c r="AB51" s="5"/>
      <c r="AC51" s="5"/>
    </row>
    <row r="52" spans="1:39" ht="33" customHeight="1" thickBot="1" x14ac:dyDescent="0.35">
      <c r="A52" s="948"/>
      <c r="B52" s="769"/>
      <c r="C52" s="44" t="s">
        <v>20</v>
      </c>
      <c r="D52" s="493">
        <v>7425.7768900000001</v>
      </c>
      <c r="E52" s="493">
        <v>7119.5506400000004</v>
      </c>
      <c r="F52" s="509"/>
      <c r="G52" s="17"/>
      <c r="H52" s="34"/>
      <c r="I52" s="19"/>
      <c r="J52" s="20"/>
      <c r="K52" s="20"/>
      <c r="L52" s="102"/>
      <c r="M52" s="390" t="s">
        <v>21</v>
      </c>
      <c r="N52" s="521">
        <v>20.9</v>
      </c>
      <c r="O52" s="456">
        <v>19</v>
      </c>
      <c r="Q52" s="5"/>
      <c r="R52" s="5"/>
      <c r="S52" s="5"/>
      <c r="T52" s="5"/>
      <c r="U52" s="103"/>
      <c r="V52" s="262"/>
      <c r="W52" s="5"/>
      <c r="X52" s="5"/>
      <c r="Y52" s="5"/>
      <c r="Z52" s="5"/>
      <c r="AA52" s="5"/>
      <c r="AB52" s="5"/>
      <c r="AC52" s="5"/>
      <c r="AD52" s="5"/>
    </row>
    <row r="53" spans="1:39" ht="41.25" customHeight="1" x14ac:dyDescent="0.3">
      <c r="A53" s="941" t="s">
        <v>65</v>
      </c>
      <c r="B53" s="769" t="s">
        <v>66</v>
      </c>
      <c r="C53" s="44" t="s">
        <v>13</v>
      </c>
      <c r="D53" s="493">
        <f>D54</f>
        <v>480</v>
      </c>
      <c r="E53" s="493">
        <f>E54</f>
        <v>480</v>
      </c>
      <c r="F53" s="509">
        <f t="shared" si="4"/>
        <v>1</v>
      </c>
      <c r="G53" s="509">
        <f>E53/D53*100</f>
        <v>100</v>
      </c>
      <c r="H53" s="34">
        <f>I53+J53+K53</f>
        <v>90</v>
      </c>
      <c r="I53" s="19">
        <f>IF(G53=100,25,IF((G53&gt;90)*(G53&lt;100),0,IF((G53&gt;70)*(G53&lt;90),-10,-25)))</f>
        <v>25</v>
      </c>
      <c r="J53" s="20">
        <f>IF((F53&gt;0)*(F53&lt;5),10,0)</f>
        <v>10</v>
      </c>
      <c r="K53" s="20">
        <f t="shared" si="9"/>
        <v>55</v>
      </c>
      <c r="L53" s="35">
        <f>IF(SUM(M51:Y51)=SUM(M52:Y52),1,2)</f>
        <v>1</v>
      </c>
      <c r="O53" s="266"/>
      <c r="Q53" s="5"/>
      <c r="R53" s="5"/>
      <c r="S53" s="5"/>
      <c r="T53" s="5"/>
      <c r="U53" s="103"/>
      <c r="V53" s="262"/>
      <c r="W53" s="5"/>
      <c r="X53" s="5"/>
      <c r="Y53" s="5"/>
      <c r="Z53" s="5"/>
      <c r="AA53" s="5"/>
      <c r="AB53" s="5"/>
      <c r="AC53" s="5"/>
      <c r="AD53" s="5"/>
    </row>
    <row r="54" spans="1:39" ht="26.25" customHeight="1" x14ac:dyDescent="0.3">
      <c r="A54" s="942"/>
      <c r="B54" s="769"/>
      <c r="C54" s="44" t="s">
        <v>18</v>
      </c>
      <c r="D54" s="493">
        <v>480</v>
      </c>
      <c r="E54" s="493">
        <v>480</v>
      </c>
      <c r="F54" s="17"/>
      <c r="G54" s="17"/>
      <c r="H54" s="34"/>
      <c r="I54" s="19"/>
      <c r="J54" s="20"/>
      <c r="K54" s="20"/>
      <c r="L54" s="35"/>
      <c r="M54" s="5"/>
      <c r="N54" s="5"/>
      <c r="O54" s="10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9" ht="21.75" customHeight="1" x14ac:dyDescent="0.3">
      <c r="A55" s="942"/>
      <c r="B55" s="769"/>
      <c r="C55" s="33"/>
      <c r="D55" s="45"/>
      <c r="E55" s="45"/>
      <c r="F55" s="17"/>
      <c r="G55" s="17"/>
      <c r="H55" s="34"/>
      <c r="I55" s="19"/>
      <c r="J55" s="20"/>
      <c r="K55" s="20"/>
      <c r="L55" s="35"/>
      <c r="M55" s="5"/>
      <c r="N55" s="5"/>
      <c r="O55" s="10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9" ht="26.25" customHeight="1" thickBot="1" x14ac:dyDescent="0.35">
      <c r="A56" s="948"/>
      <c r="B56" s="782"/>
      <c r="C56" s="41"/>
      <c r="D56" s="69"/>
      <c r="E56" s="69"/>
      <c r="F56" s="36"/>
      <c r="G56" s="36"/>
      <c r="H56" s="37"/>
      <c r="I56" s="38"/>
      <c r="J56" s="39"/>
      <c r="K56" s="39"/>
      <c r="L56" s="4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9" ht="204" customHeight="1" thickBot="1" x14ac:dyDescent="0.35">
      <c r="A57" s="945">
        <v>7</v>
      </c>
      <c r="B57" s="761" t="s">
        <v>329</v>
      </c>
      <c r="C57" s="11" t="s">
        <v>13</v>
      </c>
      <c r="D57" s="483">
        <f>D62+D66+D69</f>
        <v>3748.5</v>
      </c>
      <c r="E57" s="985">
        <f>E62+E66+E69+E74</f>
        <v>3758.1</v>
      </c>
      <c r="F57" s="738">
        <f t="shared" si="4"/>
        <v>1.0025610244097638</v>
      </c>
      <c r="G57" s="738">
        <f>E57/D57*100</f>
        <v>100.25610244097638</v>
      </c>
      <c r="H57" s="739">
        <f>(H62*E62+H66*E66)/E57</f>
        <v>90</v>
      </c>
      <c r="I57" s="733">
        <f t="shared" ref="I57" si="11">IF(G57=100,25,IF((G57&gt;90)*(G57&lt;100),0,IF((G57&gt;100)*(G57&lt;101),25,IF((G57&gt;70)*(G57&lt;90),-10,-25))))</f>
        <v>25</v>
      </c>
      <c r="J57" s="734">
        <f t="shared" ref="J57" si="12">IF((F57&gt;0)*(F57&lt;5),10,0)</f>
        <v>10</v>
      </c>
      <c r="K57" s="734">
        <f t="shared" si="9"/>
        <v>55</v>
      </c>
      <c r="L57" s="736">
        <f>IF(SUM($N$58:$P$58)=SUM($N$59:$P$59),1,2)</f>
        <v>1</v>
      </c>
      <c r="M57" s="83" t="s">
        <v>14</v>
      </c>
      <c r="N57" s="431" t="s">
        <v>426</v>
      </c>
      <c r="O57" s="416" t="s">
        <v>67</v>
      </c>
      <c r="P57" s="418" t="s">
        <v>427</v>
      </c>
      <c r="Q57" s="257"/>
      <c r="R57" s="25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9" ht="26.25" customHeight="1" thickBot="1" x14ac:dyDescent="0.35">
      <c r="A58" s="950"/>
      <c r="B58" s="762"/>
      <c r="C58" s="16" t="s">
        <v>18</v>
      </c>
      <c r="D58" s="239">
        <f>D63+D67+D70+D75</f>
        <v>2566.6</v>
      </c>
      <c r="E58" s="616">
        <f>E63+E67+E70+E75</f>
        <v>2566.6</v>
      </c>
      <c r="F58" s="737"/>
      <c r="G58" s="737"/>
      <c r="H58" s="86"/>
      <c r="I58" s="30"/>
      <c r="J58" s="31"/>
      <c r="K58" s="31"/>
      <c r="L58" s="735"/>
      <c r="M58" s="392" t="s">
        <v>19</v>
      </c>
      <c r="N58" s="636">
        <v>25</v>
      </c>
      <c r="O58" s="513">
        <v>1381</v>
      </c>
      <c r="P58" s="457">
        <v>100</v>
      </c>
      <c r="Q58" s="636"/>
      <c r="R58" s="636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9" ht="23.25" customHeight="1" thickBot="1" x14ac:dyDescent="0.35">
      <c r="A59" s="950"/>
      <c r="B59" s="762"/>
      <c r="C59" s="16" t="s">
        <v>20</v>
      </c>
      <c r="D59" s="239">
        <f>D64+D71</f>
        <v>0</v>
      </c>
      <c r="E59" s="239">
        <f>E64+E71</f>
        <v>0</v>
      </c>
      <c r="F59" s="17"/>
      <c r="G59" s="17"/>
      <c r="H59" s="18"/>
      <c r="I59" s="30"/>
      <c r="J59" s="31"/>
      <c r="K59" s="31"/>
      <c r="L59" s="21"/>
      <c r="M59" s="84" t="s">
        <v>21</v>
      </c>
      <c r="N59" s="522">
        <v>25</v>
      </c>
      <c r="O59" s="521">
        <v>1381</v>
      </c>
      <c r="P59" s="456">
        <v>100</v>
      </c>
      <c r="Q59" s="636"/>
      <c r="R59" s="63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9" ht="28.5" customHeight="1" x14ac:dyDescent="0.3">
      <c r="A60" s="950"/>
      <c r="B60" s="762"/>
      <c r="C60" s="16" t="s">
        <v>68</v>
      </c>
      <c r="D60" s="239">
        <f>D77</f>
        <v>0</v>
      </c>
      <c r="E60" s="239">
        <f>E77</f>
        <v>0</v>
      </c>
      <c r="F60" s="17"/>
      <c r="G60" s="17"/>
      <c r="H60" s="18"/>
      <c r="I60" s="30"/>
      <c r="J60" s="31"/>
      <c r="K60" s="31"/>
      <c r="L60" s="21"/>
      <c r="M60" s="5"/>
      <c r="N60" s="57"/>
      <c r="O60" s="57"/>
      <c r="P60" s="57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9" ht="36.75" customHeight="1" thickBot="1" x14ac:dyDescent="0.35">
      <c r="A61" s="947"/>
      <c r="B61" s="70"/>
      <c r="C61" s="68" t="s">
        <v>69</v>
      </c>
      <c r="D61" s="494">
        <f>D65+D68</f>
        <v>1181.8999999999999</v>
      </c>
      <c r="E61" s="494">
        <f>E65+E68</f>
        <v>1191.5</v>
      </c>
      <c r="F61" s="23"/>
      <c r="G61" s="23"/>
      <c r="H61" s="54"/>
      <c r="I61" s="30"/>
      <c r="J61" s="31"/>
      <c r="K61" s="31"/>
      <c r="L61" s="2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9" ht="65.25" customHeight="1" thickBot="1" x14ac:dyDescent="0.35">
      <c r="A62" s="941" t="s">
        <v>70</v>
      </c>
      <c r="B62" s="778" t="s">
        <v>71</v>
      </c>
      <c r="C62" s="28" t="s">
        <v>13</v>
      </c>
      <c r="D62" s="272">
        <f>D63+D65</f>
        <v>2260.3000000000002</v>
      </c>
      <c r="E62" s="609">
        <f>E63+E65</f>
        <v>2269.9</v>
      </c>
      <c r="F62" s="508">
        <f t="shared" si="4"/>
        <v>1.004247223819847</v>
      </c>
      <c r="G62" s="504">
        <f>IF(E62&gt;100,100,(E62/D62*100))</f>
        <v>100</v>
      </c>
      <c r="H62" s="29">
        <f>I62+J62+K62</f>
        <v>90</v>
      </c>
      <c r="I62" s="30">
        <f>IF(G62=100,25,IF((G62&gt;90)*(G62&lt;100),0,IF((G62&gt;100)*(G62&lt;101),25,IF((G62&gt;70)*(G62&lt;90),-10,-25))))</f>
        <v>25</v>
      </c>
      <c r="J62" s="31">
        <f>IF((F62&gt;0)*(F62&lt;5),10,0)</f>
        <v>10</v>
      </c>
      <c r="K62" s="31">
        <f t="shared" si="9"/>
        <v>55</v>
      </c>
      <c r="L62" s="410">
        <f>IF(SUM(M63:Y63)=SUM(M64:Y64),1,2)</f>
        <v>1</v>
      </c>
      <c r="M62" s="83" t="s">
        <v>14</v>
      </c>
      <c r="N62" s="639" t="s">
        <v>426</v>
      </c>
      <c r="O62" s="257"/>
      <c r="P62" s="257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9" ht="27.75" customHeight="1" thickBot="1" x14ac:dyDescent="0.35">
      <c r="A63" s="942"/>
      <c r="B63" s="769"/>
      <c r="C63" s="33" t="s">
        <v>18</v>
      </c>
      <c r="D63" s="573">
        <v>1316.5</v>
      </c>
      <c r="E63" s="573">
        <v>1316.5</v>
      </c>
      <c r="F63" s="509"/>
      <c r="G63" s="501"/>
      <c r="H63" s="34"/>
      <c r="I63" s="19"/>
      <c r="J63" s="20"/>
      <c r="K63" s="20"/>
      <c r="L63" s="102"/>
      <c r="M63" s="389" t="s">
        <v>19</v>
      </c>
      <c r="N63" s="455">
        <v>25</v>
      </c>
      <c r="O63" s="636"/>
      <c r="P63" s="444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9" ht="27.75" customHeight="1" thickBot="1" x14ac:dyDescent="0.35">
      <c r="A64" s="942"/>
      <c r="B64" s="769"/>
      <c r="C64" s="33" t="s">
        <v>20</v>
      </c>
      <c r="D64" s="274"/>
      <c r="E64" s="274"/>
      <c r="F64" s="509"/>
      <c r="G64" s="501"/>
      <c r="H64" s="34"/>
      <c r="I64" s="19"/>
      <c r="J64" s="20"/>
      <c r="K64" s="20"/>
      <c r="L64" s="102"/>
      <c r="M64" s="390" t="s">
        <v>21</v>
      </c>
      <c r="N64" s="456">
        <v>25</v>
      </c>
      <c r="O64" s="636"/>
      <c r="P64" s="44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36" customHeight="1" thickBot="1" x14ac:dyDescent="0.35">
      <c r="A65" s="948"/>
      <c r="B65" s="769"/>
      <c r="C65" s="33" t="s">
        <v>69</v>
      </c>
      <c r="D65" s="273">
        <v>943.8</v>
      </c>
      <c r="E65" s="640">
        <v>953.4</v>
      </c>
      <c r="F65" s="509"/>
      <c r="G65" s="501"/>
      <c r="H65" s="34"/>
      <c r="I65" s="19"/>
      <c r="J65" s="20"/>
      <c r="K65" s="20"/>
      <c r="L65" s="3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66" customHeight="1" thickBot="1" x14ac:dyDescent="0.35">
      <c r="A66" s="941" t="s">
        <v>72</v>
      </c>
      <c r="B66" s="769" t="s">
        <v>73</v>
      </c>
      <c r="C66" s="33" t="s">
        <v>13</v>
      </c>
      <c r="D66" s="641">
        <f>D67+D68</f>
        <v>1488.1999999999998</v>
      </c>
      <c r="E66" s="641">
        <f>E67+E68</f>
        <v>1488.1999999999998</v>
      </c>
      <c r="F66" s="509">
        <f t="shared" si="4"/>
        <v>1</v>
      </c>
      <c r="G66" s="501">
        <f>E66/D66*100</f>
        <v>100</v>
      </c>
      <c r="H66" s="74">
        <f>I66+J66+K66</f>
        <v>90</v>
      </c>
      <c r="I66" s="19">
        <f>IF(G66=100,25,IF((G66&gt;90)*(G66&lt;100),0,IF((G66&gt;70)*(G66&lt;90),-10,-25)))</f>
        <v>25</v>
      </c>
      <c r="J66" s="20">
        <f>IF((F66&gt;0)*(F66&lt;5),10,0)</f>
        <v>10</v>
      </c>
      <c r="K66" s="20">
        <f t="shared" si="9"/>
        <v>55</v>
      </c>
      <c r="L66" s="102">
        <f>IF(SUM(N67:P67)=SUM(N68:P68),1,IF(SUM(N67:P67)&lt;SUM(N68:P68),1,2))</f>
        <v>1</v>
      </c>
      <c r="M66" s="83" t="s">
        <v>14</v>
      </c>
      <c r="N66" s="413" t="s">
        <v>74</v>
      </c>
      <c r="O66" s="418" t="s">
        <v>427</v>
      </c>
      <c r="P66" s="257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28.5" customHeight="1" thickBot="1" x14ac:dyDescent="0.35">
      <c r="A67" s="942"/>
      <c r="B67" s="769"/>
      <c r="C67" s="33" t="s">
        <v>18</v>
      </c>
      <c r="D67" s="640">
        <v>1250.0999999999999</v>
      </c>
      <c r="E67" s="640">
        <v>1250.0999999999999</v>
      </c>
      <c r="F67" s="509"/>
      <c r="G67" s="501"/>
      <c r="H67" s="74"/>
      <c r="I67" s="19"/>
      <c r="J67" s="20"/>
      <c r="K67" s="20"/>
      <c r="L67" s="102"/>
      <c r="M67" s="392" t="s">
        <v>19</v>
      </c>
      <c r="N67" s="513">
        <v>1381</v>
      </c>
      <c r="O67" s="457">
        <v>100</v>
      </c>
      <c r="P67" s="63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36" customHeight="1" thickBot="1" x14ac:dyDescent="0.35">
      <c r="A68" s="948"/>
      <c r="B68" s="769"/>
      <c r="C68" s="33" t="s">
        <v>69</v>
      </c>
      <c r="D68" s="642">
        <v>238.1</v>
      </c>
      <c r="E68" s="640">
        <v>238.1</v>
      </c>
      <c r="F68" s="509"/>
      <c r="G68" s="501"/>
      <c r="H68" s="74"/>
      <c r="I68" s="19"/>
      <c r="J68" s="20"/>
      <c r="K68" s="20"/>
      <c r="L68" s="102"/>
      <c r="M68" s="84" t="s">
        <v>21</v>
      </c>
      <c r="N68" s="521">
        <v>1381</v>
      </c>
      <c r="O68" s="456">
        <v>100</v>
      </c>
      <c r="P68" s="63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04.25" customHeight="1" thickBot="1" x14ac:dyDescent="0.35">
      <c r="A69" s="941" t="s">
        <v>75</v>
      </c>
      <c r="B69" s="769" t="s">
        <v>410</v>
      </c>
      <c r="C69" s="44" t="s">
        <v>13</v>
      </c>
      <c r="D69" s="274">
        <f>D70+D71+D72+D73</f>
        <v>0</v>
      </c>
      <c r="E69" s="274">
        <f>E70+E71+E72+E73</f>
        <v>0</v>
      </c>
      <c r="F69" s="509" t="e">
        <f t="shared" si="4"/>
        <v>#DIV/0!</v>
      </c>
      <c r="G69" s="501" t="e">
        <f>E69/D69*100</f>
        <v>#DIV/0!</v>
      </c>
      <c r="H69" s="34" t="e">
        <f>I69+J69+K69</f>
        <v>#DIV/0!</v>
      </c>
      <c r="I69" s="19" t="e">
        <f>IF(G69=100,25,IF((G69&gt;90)*(G69&lt;100),0,IF((G69&gt;70)*(G69&lt;90),-10,-25)))</f>
        <v>#DIV/0!</v>
      </c>
      <c r="J69" s="20" t="e">
        <f>IF((F69&gt;0)*(F69&lt;5),10,0)</f>
        <v>#DIV/0!</v>
      </c>
      <c r="K69" s="20">
        <f t="shared" si="9"/>
        <v>55</v>
      </c>
      <c r="L69" s="102">
        <f>IF(SUM(M70:Y70)=SUM(M71:Y71),1,2)</f>
        <v>1</v>
      </c>
      <c r="M69" s="83" t="s">
        <v>14</v>
      </c>
      <c r="N69" s="432" t="s">
        <v>76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4.75" customHeight="1" thickBot="1" x14ac:dyDescent="0.35">
      <c r="A70" s="942"/>
      <c r="B70" s="769"/>
      <c r="C70" s="44" t="s">
        <v>18</v>
      </c>
      <c r="D70" s="275">
        <v>0</v>
      </c>
      <c r="E70" s="275">
        <v>0</v>
      </c>
      <c r="F70" s="17"/>
      <c r="G70" s="17"/>
      <c r="H70" s="34"/>
      <c r="I70" s="19"/>
      <c r="J70" s="20"/>
      <c r="K70" s="20"/>
      <c r="L70" s="102"/>
      <c r="M70" s="389" t="s">
        <v>19</v>
      </c>
      <c r="N70" s="455">
        <v>0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6.25" customHeight="1" thickBot="1" x14ac:dyDescent="0.35">
      <c r="A71" s="942"/>
      <c r="B71" s="769"/>
      <c r="C71" s="44" t="s">
        <v>20</v>
      </c>
      <c r="D71" s="274">
        <v>0</v>
      </c>
      <c r="E71" s="274">
        <v>0</v>
      </c>
      <c r="F71" s="17"/>
      <c r="G71" s="17"/>
      <c r="H71" s="34"/>
      <c r="I71" s="19"/>
      <c r="J71" s="20"/>
      <c r="K71" s="20"/>
      <c r="L71" s="102"/>
      <c r="M71" s="390" t="s">
        <v>21</v>
      </c>
      <c r="N71" s="456">
        <v>0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36" customHeight="1" thickBot="1" x14ac:dyDescent="0.35">
      <c r="A72" s="942"/>
      <c r="B72" s="769"/>
      <c r="C72" s="44" t="s">
        <v>68</v>
      </c>
      <c r="D72" s="274">
        <v>0</v>
      </c>
      <c r="E72" s="274">
        <v>0</v>
      </c>
      <c r="F72" s="17"/>
      <c r="G72" s="17"/>
      <c r="H72" s="34"/>
      <c r="I72" s="19"/>
      <c r="J72" s="20"/>
      <c r="K72" s="20"/>
      <c r="L72" s="3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78" customHeight="1" thickBot="1" x14ac:dyDescent="0.35">
      <c r="A73" s="948"/>
      <c r="B73" s="769"/>
      <c r="C73" s="33"/>
      <c r="D73" s="73"/>
      <c r="E73" s="73"/>
      <c r="F73" s="17"/>
      <c r="G73" s="17"/>
      <c r="H73" s="34"/>
      <c r="I73" s="19"/>
      <c r="J73" s="20"/>
      <c r="K73" s="20"/>
      <c r="L73" s="102"/>
      <c r="M73" s="83" t="s">
        <v>14</v>
      </c>
      <c r="N73" s="445" t="s">
        <v>407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33" customHeight="1" thickBot="1" x14ac:dyDescent="0.35">
      <c r="A74" s="939" t="s">
        <v>419</v>
      </c>
      <c r="B74" s="770" t="s">
        <v>410</v>
      </c>
      <c r="C74" s="46"/>
      <c r="D74" s="772" t="s">
        <v>39</v>
      </c>
      <c r="E74" s="773"/>
      <c r="F74" s="773"/>
      <c r="G74" s="773"/>
      <c r="H74" s="773"/>
      <c r="I74" s="773"/>
      <c r="J74" s="773"/>
      <c r="K74" s="774"/>
      <c r="L74" s="400">
        <f>IF(SUM(M74:Y74)=SUM(M75:Y75),1,2)</f>
        <v>1</v>
      </c>
      <c r="M74" s="392" t="s">
        <v>19</v>
      </c>
      <c r="N74" s="457"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21" customHeight="1" thickBot="1" x14ac:dyDescent="0.35">
      <c r="A75" s="944"/>
      <c r="B75" s="770"/>
      <c r="C75" s="46"/>
      <c r="D75" s="75">
        <v>0</v>
      </c>
      <c r="E75" s="75">
        <v>0</v>
      </c>
      <c r="F75" s="49"/>
      <c r="G75" s="49"/>
      <c r="H75" s="75"/>
      <c r="I75" s="89"/>
      <c r="J75" s="47"/>
      <c r="K75" s="47"/>
      <c r="L75" s="400"/>
      <c r="M75" s="84" t="s">
        <v>21</v>
      </c>
      <c r="N75" s="456">
        <v>0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26.25" customHeight="1" x14ac:dyDescent="0.3">
      <c r="A76" s="944"/>
      <c r="B76" s="770"/>
      <c r="C76" s="46"/>
      <c r="D76" s="75">
        <v>0</v>
      </c>
      <c r="E76" s="75">
        <v>0</v>
      </c>
      <c r="F76" s="49"/>
      <c r="G76" s="49"/>
      <c r="H76" s="75"/>
      <c r="I76" s="89"/>
      <c r="J76" s="47"/>
      <c r="K76" s="47"/>
      <c r="L76" s="4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36.75" customHeight="1" thickBot="1" x14ac:dyDescent="0.35">
      <c r="A77" s="940"/>
      <c r="B77" s="771"/>
      <c r="C77" s="50"/>
      <c r="D77" s="76">
        <v>0</v>
      </c>
      <c r="E77" s="76">
        <v>0</v>
      </c>
      <c r="F77" s="52"/>
      <c r="G77" s="52"/>
      <c r="H77" s="76"/>
      <c r="I77" s="384"/>
      <c r="J77" s="385"/>
      <c r="K77" s="385"/>
      <c r="L77" s="38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84" customHeight="1" thickBot="1" x14ac:dyDescent="0.35">
      <c r="A78" s="945">
        <v>8</v>
      </c>
      <c r="B78" s="465" t="s">
        <v>412</v>
      </c>
      <c r="C78" s="77" t="s">
        <v>13</v>
      </c>
      <c r="D78" s="650">
        <f>D82+D85+D87+D89+D91</f>
        <v>19212.85439</v>
      </c>
      <c r="E78" s="483">
        <f>E82+E85+E87+E89+E91</f>
        <v>19211.60439</v>
      </c>
      <c r="F78" s="406">
        <f>E83/D83*100%</f>
        <v>0.99976662107089631</v>
      </c>
      <c r="G78" s="276">
        <f t="shared" ref="G78" si="13">E78/D78*100</f>
        <v>99.993493939137693</v>
      </c>
      <c r="H78" s="449">
        <f>(H82*E82+H85*E85+H87*E87+H89*E89+H91*E91)/E78</f>
        <v>86.972425560133033</v>
      </c>
      <c r="I78" s="12"/>
      <c r="J78" s="13"/>
      <c r="K78" s="13"/>
      <c r="L78" s="14">
        <f>IF(SUM(M79:Y79)=SUM(M80:Y80),1,2)</f>
        <v>2</v>
      </c>
      <c r="M78" s="15" t="s">
        <v>14</v>
      </c>
      <c r="N78" s="431" t="s">
        <v>343</v>
      </c>
      <c r="O78" s="416" t="s">
        <v>77</v>
      </c>
      <c r="P78" s="416" t="s">
        <v>78</v>
      </c>
      <c r="Q78" s="416" t="s">
        <v>344</v>
      </c>
      <c r="R78" s="416" t="s">
        <v>79</v>
      </c>
      <c r="S78" s="418" t="s">
        <v>84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36.75" customHeight="1" thickBot="1" x14ac:dyDescent="0.35">
      <c r="A79" s="950"/>
      <c r="B79" s="78"/>
      <c r="C79" s="79" t="s">
        <v>18</v>
      </c>
      <c r="D79" s="239">
        <f>D83+D86+D88+D90+D92</f>
        <v>19012.85439</v>
      </c>
      <c r="E79" s="239">
        <f>E83+E86+E88+E90+E92</f>
        <v>19011.60439</v>
      </c>
      <c r="F79" s="17"/>
      <c r="G79" s="276"/>
      <c r="H79" s="18"/>
      <c r="I79" s="19"/>
      <c r="J79" s="20"/>
      <c r="K79" s="20"/>
      <c r="L79" s="21"/>
      <c r="M79" s="61" t="s">
        <v>19</v>
      </c>
      <c r="N79" s="512">
        <v>50</v>
      </c>
      <c r="O79" s="256">
        <v>8.6999999999999993</v>
      </c>
      <c r="P79" s="513">
        <v>91.26</v>
      </c>
      <c r="Q79" s="513">
        <v>1200</v>
      </c>
      <c r="R79" s="513">
        <v>59</v>
      </c>
      <c r="S79" s="513">
        <v>7.24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30" customHeight="1" thickBot="1" x14ac:dyDescent="0.35">
      <c r="A80" s="950"/>
      <c r="B80" s="78"/>
      <c r="C80" s="79" t="s">
        <v>20</v>
      </c>
      <c r="D80" s="239">
        <f>D84</f>
        <v>200</v>
      </c>
      <c r="E80" s="239">
        <f>E84</f>
        <v>200</v>
      </c>
      <c r="F80" s="17"/>
      <c r="G80" s="276"/>
      <c r="H80" s="18"/>
      <c r="I80" s="19"/>
      <c r="J80" s="20"/>
      <c r="K80" s="20"/>
      <c r="L80" s="21"/>
      <c r="M80" s="62" t="s">
        <v>21</v>
      </c>
      <c r="N80" s="524">
        <v>90</v>
      </c>
      <c r="O80" s="256">
        <v>8.8000000000000007</v>
      </c>
      <c r="P80" s="256">
        <v>91.26</v>
      </c>
      <c r="Q80" s="256">
        <v>1700</v>
      </c>
      <c r="R80" s="256">
        <v>59</v>
      </c>
      <c r="S80" s="256">
        <v>7.24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31.5" customHeight="1" thickBot="1" x14ac:dyDescent="0.35">
      <c r="A81" s="947"/>
      <c r="B81" s="70"/>
      <c r="C81" s="22" t="s">
        <v>68</v>
      </c>
      <c r="D81" s="238"/>
      <c r="E81" s="238"/>
      <c r="F81" s="23"/>
      <c r="G81" s="276"/>
      <c r="H81" s="80"/>
      <c r="I81" s="25"/>
      <c r="J81" s="26"/>
      <c r="K81" s="26"/>
      <c r="L81" s="2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88.5" customHeight="1" thickBot="1" x14ac:dyDescent="0.35">
      <c r="A82" s="941" t="s">
        <v>80</v>
      </c>
      <c r="B82" s="775" t="s">
        <v>81</v>
      </c>
      <c r="C82" s="81" t="s">
        <v>13</v>
      </c>
      <c r="D82" s="705">
        <f>D83+D84</f>
        <v>5556.0962200000004</v>
      </c>
      <c r="E82" s="706">
        <f>E83+E84</f>
        <v>5554.8462200000004</v>
      </c>
      <c r="F82" s="984">
        <f>D82/E82*100%</f>
        <v>1.0002250287317584</v>
      </c>
      <c r="G82" s="276">
        <f t="shared" ref="G82" si="14">E82/D82*100</f>
        <v>99.977502189477917</v>
      </c>
      <c r="H82" s="29">
        <f>J82+K82</f>
        <v>80</v>
      </c>
      <c r="I82" s="30">
        <f>IF(G82=100,25,IF((G82&gt;90)*(G82&lt;100),0,IF((G82&gt;70)*(G82&lt;90),-10,-25)))</f>
        <v>0</v>
      </c>
      <c r="J82" s="31">
        <f>IF((F82&gt;0)*(F82&lt;5),20,0)</f>
        <v>20</v>
      </c>
      <c r="K82" s="31">
        <f>IF(L82=1,60,30)</f>
        <v>60</v>
      </c>
      <c r="L82" s="32">
        <f>IF(SUM(N83:P83)=SUM(N84:P84),1,IF(SUM(N83:P83)&lt;SUM(N84:P84),1,2))</f>
        <v>1</v>
      </c>
      <c r="M82" s="15" t="s">
        <v>14</v>
      </c>
      <c r="N82" s="413" t="s">
        <v>82</v>
      </c>
      <c r="O82" s="416" t="s">
        <v>343</v>
      </c>
      <c r="P82" s="416" t="s">
        <v>337</v>
      </c>
      <c r="Q82" s="416" t="s">
        <v>338</v>
      </c>
      <c r="R82" s="433" t="s">
        <v>339</v>
      </c>
      <c r="S82" s="416" t="s">
        <v>77</v>
      </c>
      <c r="T82" s="416" t="s">
        <v>340</v>
      </c>
      <c r="U82" s="416" t="s">
        <v>83</v>
      </c>
      <c r="V82" s="416" t="s">
        <v>344</v>
      </c>
      <c r="W82" s="416" t="s">
        <v>341</v>
      </c>
      <c r="X82" s="416" t="s">
        <v>342</v>
      </c>
      <c r="Y82" s="416" t="s">
        <v>84</v>
      </c>
      <c r="Z82" s="416" t="s">
        <v>85</v>
      </c>
      <c r="AA82" s="258" t="s">
        <v>86</v>
      </c>
      <c r="AB82" s="5"/>
      <c r="AC82" s="5"/>
      <c r="AD82" s="5"/>
    </row>
    <row r="83" spans="1:30" ht="36" customHeight="1" thickBot="1" x14ac:dyDescent="0.35">
      <c r="A83" s="942"/>
      <c r="B83" s="743"/>
      <c r="C83" s="82" t="s">
        <v>18</v>
      </c>
      <c r="D83" s="608">
        <v>5356.0962200000004</v>
      </c>
      <c r="E83" s="974">
        <v>5354.8462200000004</v>
      </c>
      <c r="F83" s="405"/>
      <c r="G83" s="276"/>
      <c r="H83" s="34"/>
      <c r="I83" s="30"/>
      <c r="J83" s="31"/>
      <c r="K83" s="20"/>
      <c r="L83" s="32"/>
      <c r="M83" s="61" t="s">
        <v>19</v>
      </c>
      <c r="N83" s="512">
        <v>99.5</v>
      </c>
      <c r="O83" s="513">
        <v>50</v>
      </c>
      <c r="P83" s="513"/>
      <c r="Q83" s="513"/>
      <c r="R83" s="525"/>
      <c r="S83" s="513"/>
      <c r="T83" s="513"/>
      <c r="U83" s="513"/>
      <c r="V83" s="513"/>
      <c r="W83" s="513"/>
      <c r="X83" s="513"/>
      <c r="Y83" s="513"/>
      <c r="Z83" s="513"/>
      <c r="AA83" s="256"/>
      <c r="AB83" s="5"/>
      <c r="AC83" s="5"/>
      <c r="AD83" s="5"/>
    </row>
    <row r="84" spans="1:30" ht="28.5" customHeight="1" thickBot="1" x14ac:dyDescent="0.35">
      <c r="A84" s="948"/>
      <c r="B84" s="744"/>
      <c r="C84" s="600" t="s">
        <v>20</v>
      </c>
      <c r="D84" s="495">
        <v>200</v>
      </c>
      <c r="E84" s="495">
        <v>200</v>
      </c>
      <c r="F84" s="405"/>
      <c r="G84" s="276"/>
      <c r="H84" s="34"/>
      <c r="I84" s="30"/>
      <c r="J84" s="31"/>
      <c r="K84" s="20"/>
      <c r="L84" s="32"/>
      <c r="M84" s="62" t="s">
        <v>21</v>
      </c>
      <c r="N84" s="524">
        <v>99.5</v>
      </c>
      <c r="O84" s="256">
        <v>90</v>
      </c>
      <c r="P84" s="256"/>
      <c r="Q84" s="256"/>
      <c r="R84" s="525"/>
      <c r="S84" s="256"/>
      <c r="T84" s="256"/>
      <c r="U84" s="256"/>
      <c r="V84" s="256"/>
      <c r="W84" s="256"/>
      <c r="X84" s="256"/>
      <c r="Y84" s="256"/>
      <c r="Z84" s="256"/>
      <c r="AA84" s="256"/>
      <c r="AB84" s="5"/>
      <c r="AC84" s="5"/>
      <c r="AD84" s="5"/>
    </row>
    <row r="85" spans="1:30" ht="34.5" customHeight="1" thickBot="1" x14ac:dyDescent="0.35">
      <c r="A85" s="941" t="s">
        <v>87</v>
      </c>
      <c r="B85" s="776" t="s">
        <v>88</v>
      </c>
      <c r="C85" s="82" t="s">
        <v>13</v>
      </c>
      <c r="D85" s="496">
        <f>D86</f>
        <v>261.61002000000002</v>
      </c>
      <c r="E85" s="496">
        <f>E86</f>
        <v>261.61002000000002</v>
      </c>
      <c r="F85" s="405">
        <f t="shared" ref="F85:F107" si="15">E85/D85*100%</f>
        <v>1</v>
      </c>
      <c r="G85" s="276">
        <f>E85/D85*100</f>
        <v>100</v>
      </c>
      <c r="H85" s="34">
        <f>J85+K85</f>
        <v>80</v>
      </c>
      <c r="I85" s="30">
        <f t="shared" ref="I85:I103" si="16">IF(G85=100,25,IF((G85&gt;90)*(G85&lt;100),0,IF((G85&gt;70)*(G85&lt;90),-10,-25)))</f>
        <v>25</v>
      </c>
      <c r="J85" s="31">
        <f>IF((F85&gt;0)*(F85&lt;5),20,0)</f>
        <v>20</v>
      </c>
      <c r="K85" s="20">
        <f>IF(L85=1,60,30)</f>
        <v>60</v>
      </c>
      <c r="L85" s="32">
        <f>IF(SUM(P85:R85)=SUM(P86:R86),1,IF(SUM(P85:R85)&lt;SUM(P86:R86),1,2))</f>
        <v>1</v>
      </c>
      <c r="M85" s="61" t="s">
        <v>19</v>
      </c>
      <c r="N85" s="524"/>
      <c r="O85" s="256"/>
      <c r="P85" s="256">
        <v>1</v>
      </c>
      <c r="Q85" s="256">
        <v>16</v>
      </c>
      <c r="R85" s="402">
        <v>8</v>
      </c>
      <c r="S85" s="256"/>
      <c r="T85" s="256"/>
      <c r="U85" s="256"/>
      <c r="V85" s="256"/>
      <c r="W85" s="256"/>
      <c r="X85" s="256"/>
      <c r="Y85" s="256"/>
      <c r="Z85" s="256"/>
      <c r="AA85" s="256"/>
      <c r="AB85" s="5"/>
      <c r="AC85" s="5"/>
      <c r="AD85" s="5"/>
    </row>
    <row r="86" spans="1:30" ht="46.5" customHeight="1" thickBot="1" x14ac:dyDescent="0.35">
      <c r="A86" s="948"/>
      <c r="B86" s="776"/>
      <c r="C86" s="82" t="s">
        <v>18</v>
      </c>
      <c r="D86" s="496">
        <v>261.61002000000002</v>
      </c>
      <c r="E86" s="496">
        <v>261.61002000000002</v>
      </c>
      <c r="F86" s="405"/>
      <c r="G86" s="276">
        <f t="shared" ref="G86:G91" si="17">E86/D86*100</f>
        <v>100</v>
      </c>
      <c r="H86" s="34"/>
      <c r="I86" s="30"/>
      <c r="J86" s="31"/>
      <c r="K86" s="20"/>
      <c r="L86" s="35"/>
      <c r="M86" s="62" t="s">
        <v>21</v>
      </c>
      <c r="N86" s="524"/>
      <c r="O86" s="256"/>
      <c r="P86" s="256">
        <v>4</v>
      </c>
      <c r="Q86" s="256">
        <v>25</v>
      </c>
      <c r="R86" s="402">
        <v>9</v>
      </c>
      <c r="S86" s="256"/>
      <c r="T86" s="256"/>
      <c r="U86" s="256"/>
      <c r="V86" s="256"/>
      <c r="W86" s="256"/>
      <c r="X86" s="256"/>
      <c r="Y86" s="256"/>
      <c r="Z86" s="256"/>
      <c r="AA86" s="256"/>
      <c r="AB86" s="5"/>
      <c r="AC86" s="5"/>
      <c r="AD86" s="5"/>
    </row>
    <row r="87" spans="1:30" ht="34.5" customHeight="1" thickBot="1" x14ac:dyDescent="0.35">
      <c r="A87" s="941" t="s">
        <v>235</v>
      </c>
      <c r="B87" s="776" t="s">
        <v>90</v>
      </c>
      <c r="C87" s="82" t="s">
        <v>13</v>
      </c>
      <c r="D87" s="496">
        <f>D88</f>
        <v>10040.2053</v>
      </c>
      <c r="E87" s="496">
        <f t="shared" ref="E87" si="18">E88</f>
        <v>10040.2053</v>
      </c>
      <c r="F87" s="405">
        <f t="shared" si="15"/>
        <v>1</v>
      </c>
      <c r="G87" s="276">
        <f t="shared" si="17"/>
        <v>100</v>
      </c>
      <c r="H87" s="74">
        <f>I87+J87+K87</f>
        <v>90</v>
      </c>
      <c r="I87" s="30">
        <f t="shared" si="16"/>
        <v>25</v>
      </c>
      <c r="J87" s="31">
        <f>IF((F87&gt;0)*(F87&lt;5),10,0)</f>
        <v>10</v>
      </c>
      <c r="K87" s="20">
        <f t="shared" ref="K87:K91" si="19">IF(L87=1,55,10)</f>
        <v>55</v>
      </c>
      <c r="L87" s="35">
        <f>IF(SUM(M87:Z87)=SUM(M88:Z88),1,IF(SUM(M87:Z87)&lt;SUM(M88:Z88),1,2))</f>
        <v>1</v>
      </c>
      <c r="M87" s="62" t="s">
        <v>19</v>
      </c>
      <c r="N87" s="524"/>
      <c r="O87" s="256"/>
      <c r="P87" s="256"/>
      <c r="Q87" s="256"/>
      <c r="R87" s="525"/>
      <c r="S87" s="256">
        <v>8.6999999999999993</v>
      </c>
      <c r="T87" s="256">
        <v>59</v>
      </c>
      <c r="U87" s="256">
        <v>91.26</v>
      </c>
      <c r="V87" s="256">
        <v>1200</v>
      </c>
      <c r="W87" s="256"/>
      <c r="X87" s="256"/>
      <c r="Y87" s="256"/>
      <c r="Z87" s="256"/>
      <c r="AA87" s="256"/>
      <c r="AB87" s="5"/>
      <c r="AC87" s="5"/>
      <c r="AD87" s="5"/>
    </row>
    <row r="88" spans="1:30" ht="54" customHeight="1" thickBot="1" x14ac:dyDescent="0.35">
      <c r="A88" s="948"/>
      <c r="B88" s="776"/>
      <c r="C88" s="82" t="s">
        <v>18</v>
      </c>
      <c r="D88" s="496">
        <v>10040.2053</v>
      </c>
      <c r="E88" s="496">
        <v>10040.2053</v>
      </c>
      <c r="F88" s="405"/>
      <c r="G88" s="276"/>
      <c r="H88" s="34"/>
      <c r="I88" s="30"/>
      <c r="J88" s="31"/>
      <c r="K88" s="20"/>
      <c r="L88" s="35"/>
      <c r="M88" s="62" t="s">
        <v>21</v>
      </c>
      <c r="N88" s="524"/>
      <c r="O88" s="256"/>
      <c r="P88" s="256"/>
      <c r="Q88" s="256"/>
      <c r="R88" s="525"/>
      <c r="S88" s="256">
        <v>8.8000000000000007</v>
      </c>
      <c r="T88" s="256">
        <v>59</v>
      </c>
      <c r="U88" s="256">
        <v>91.26</v>
      </c>
      <c r="V88" s="256">
        <v>1700</v>
      </c>
      <c r="W88" s="256"/>
      <c r="X88" s="256"/>
      <c r="Y88" s="256"/>
      <c r="Z88" s="256"/>
      <c r="AA88" s="256"/>
      <c r="AB88" s="5"/>
      <c r="AC88" s="5"/>
      <c r="AD88" s="5"/>
    </row>
    <row r="89" spans="1:30" ht="33" customHeight="1" thickBot="1" x14ac:dyDescent="0.35">
      <c r="A89" s="941" t="s">
        <v>89</v>
      </c>
      <c r="B89" s="776" t="s">
        <v>92</v>
      </c>
      <c r="C89" s="82" t="s">
        <v>13</v>
      </c>
      <c r="D89" s="496">
        <f>D90</f>
        <v>3056.1254100000001</v>
      </c>
      <c r="E89" s="496">
        <f>E90</f>
        <v>3056.1254100000001</v>
      </c>
      <c r="F89" s="405">
        <f t="shared" si="15"/>
        <v>1</v>
      </c>
      <c r="G89" s="276">
        <f t="shared" si="17"/>
        <v>100</v>
      </c>
      <c r="H89" s="34">
        <f>I89+J89+K89</f>
        <v>90</v>
      </c>
      <c r="I89" s="30">
        <f t="shared" si="16"/>
        <v>25</v>
      </c>
      <c r="J89" s="31">
        <f>IF((F89&gt;0)*(F89&lt;5),10,0)</f>
        <v>10</v>
      </c>
      <c r="K89" s="20">
        <f t="shared" si="19"/>
        <v>55</v>
      </c>
      <c r="L89" s="35">
        <f>IF(SUM(M89:Z89)=SUM(M90:Z90),1,2)</f>
        <v>1</v>
      </c>
      <c r="M89" s="61" t="s">
        <v>19</v>
      </c>
      <c r="N89" s="524"/>
      <c r="O89" s="256"/>
      <c r="P89" s="256"/>
      <c r="Q89" s="256"/>
      <c r="R89" s="525"/>
      <c r="S89" s="256"/>
      <c r="T89" s="256"/>
      <c r="U89" s="256"/>
      <c r="V89" s="256"/>
      <c r="W89" s="256">
        <v>100</v>
      </c>
      <c r="X89" s="256">
        <v>100</v>
      </c>
      <c r="Y89" s="256"/>
      <c r="Z89" s="256"/>
      <c r="AA89" s="256"/>
      <c r="AB89" s="5"/>
      <c r="AC89" s="5"/>
      <c r="AD89" s="5"/>
    </row>
    <row r="90" spans="1:30" ht="31.5" customHeight="1" thickBot="1" x14ac:dyDescent="0.35">
      <c r="A90" s="948"/>
      <c r="B90" s="776"/>
      <c r="C90" s="82" t="s">
        <v>18</v>
      </c>
      <c r="D90" s="496">
        <v>3056.1254100000001</v>
      </c>
      <c r="E90" s="496">
        <v>3056.1254100000001</v>
      </c>
      <c r="F90" s="405"/>
      <c r="G90" s="276"/>
      <c r="H90" s="34"/>
      <c r="I90" s="30"/>
      <c r="J90" s="31"/>
      <c r="K90" s="20"/>
      <c r="L90" s="35"/>
      <c r="M90" s="62" t="s">
        <v>21</v>
      </c>
      <c r="N90" s="524"/>
      <c r="O90" s="256"/>
      <c r="P90" s="256"/>
      <c r="Q90" s="256"/>
      <c r="R90" s="525"/>
      <c r="S90" s="256"/>
      <c r="T90" s="256"/>
      <c r="U90" s="256"/>
      <c r="V90" s="256"/>
      <c r="W90" s="256">
        <v>100</v>
      </c>
      <c r="X90" s="256">
        <v>100</v>
      </c>
      <c r="Y90" s="256"/>
      <c r="Z90" s="256"/>
      <c r="AA90" s="256"/>
      <c r="AB90" s="5"/>
      <c r="AC90" s="5"/>
      <c r="AD90" s="5"/>
    </row>
    <row r="91" spans="1:30" ht="33" customHeight="1" thickBot="1" x14ac:dyDescent="0.35">
      <c r="A91" s="941" t="s">
        <v>91</v>
      </c>
      <c r="B91" s="776" t="s">
        <v>93</v>
      </c>
      <c r="C91" s="82" t="s">
        <v>13</v>
      </c>
      <c r="D91" s="495">
        <f>D92</f>
        <v>298.81743999999998</v>
      </c>
      <c r="E91" s="495">
        <f>E92</f>
        <v>298.81743999999998</v>
      </c>
      <c r="F91" s="405">
        <f t="shared" si="15"/>
        <v>1</v>
      </c>
      <c r="G91" s="276">
        <f t="shared" si="17"/>
        <v>100</v>
      </c>
      <c r="H91" s="34">
        <f>I91+J91+K91</f>
        <v>90</v>
      </c>
      <c r="I91" s="30">
        <f t="shared" si="16"/>
        <v>25</v>
      </c>
      <c r="J91" s="31">
        <f>IF((F91&gt;0)*(F91&lt;5),10,0)</f>
        <v>10</v>
      </c>
      <c r="K91" s="20">
        <f t="shared" si="19"/>
        <v>55</v>
      </c>
      <c r="L91" s="35">
        <f>IF(SUM(M91:Z91)=SUM(M92:Z92),1,2)</f>
        <v>1</v>
      </c>
      <c r="M91" s="61" t="s">
        <v>19</v>
      </c>
      <c r="N91" s="524"/>
      <c r="O91" s="256"/>
      <c r="P91" s="256"/>
      <c r="Q91" s="256"/>
      <c r="R91" s="525"/>
      <c r="S91" s="256"/>
      <c r="T91" s="256"/>
      <c r="U91" s="256"/>
      <c r="V91" s="256"/>
      <c r="W91" s="256"/>
      <c r="X91" s="256"/>
      <c r="Y91" s="256">
        <v>7.24</v>
      </c>
      <c r="Z91" s="256">
        <v>0</v>
      </c>
      <c r="AA91" s="256">
        <v>0</v>
      </c>
      <c r="AB91" s="5"/>
      <c r="AC91" s="5"/>
      <c r="AD91" s="5"/>
    </row>
    <row r="92" spans="1:30" ht="26.25" customHeight="1" thickBot="1" x14ac:dyDescent="0.35">
      <c r="A92" s="942"/>
      <c r="B92" s="776"/>
      <c r="C92" s="82" t="s">
        <v>18</v>
      </c>
      <c r="D92" s="495">
        <v>298.81743999999998</v>
      </c>
      <c r="E92" s="495">
        <v>298.81743999999998</v>
      </c>
      <c r="F92" s="17"/>
      <c r="G92" s="17"/>
      <c r="H92" s="34"/>
      <c r="I92" s="30"/>
      <c r="J92" s="20"/>
      <c r="K92" s="20"/>
      <c r="L92" s="35"/>
      <c r="M92" s="62" t="s">
        <v>21</v>
      </c>
      <c r="N92" s="524"/>
      <c r="O92" s="256"/>
      <c r="P92" s="256"/>
      <c r="Q92" s="256"/>
      <c r="R92" s="525"/>
      <c r="S92" s="256"/>
      <c r="T92" s="256"/>
      <c r="U92" s="256"/>
      <c r="V92" s="256"/>
      <c r="W92" s="256"/>
      <c r="X92" s="256"/>
      <c r="Y92" s="256">
        <v>7.24</v>
      </c>
      <c r="Z92" s="256">
        <v>0</v>
      </c>
      <c r="AA92" s="256">
        <v>0</v>
      </c>
      <c r="AB92" s="5"/>
      <c r="AC92" s="5"/>
      <c r="AD92" s="5"/>
    </row>
    <row r="93" spans="1:30" ht="43.5" customHeight="1" thickBot="1" x14ac:dyDescent="0.35">
      <c r="A93" s="952"/>
      <c r="B93" s="777"/>
      <c r="C93" s="55"/>
      <c r="D93" s="69"/>
      <c r="E93" s="69"/>
      <c r="F93" s="36"/>
      <c r="G93" s="36"/>
      <c r="H93" s="37"/>
      <c r="I93" s="442"/>
      <c r="J93" s="39"/>
      <c r="K93" s="39"/>
      <c r="L93" s="40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54.9" customHeight="1" thickBot="1" x14ac:dyDescent="0.35">
      <c r="A94" s="953" t="s">
        <v>94</v>
      </c>
      <c r="B94" s="761" t="s">
        <v>95</v>
      </c>
      <c r="C94" s="11" t="s">
        <v>13</v>
      </c>
      <c r="D94" s="483">
        <f>D96+D98</f>
        <v>82.070309999999992</v>
      </c>
      <c r="E94" s="483">
        <f>E96+E98</f>
        <v>82.070309999999992</v>
      </c>
      <c r="F94" s="505">
        <f t="shared" si="15"/>
        <v>1</v>
      </c>
      <c r="G94" s="502">
        <f>E94/D94*100</f>
        <v>100</v>
      </c>
      <c r="H94" s="450">
        <f>(H96*E96+H98*E98)/E94</f>
        <v>80</v>
      </c>
      <c r="I94" s="12"/>
      <c r="J94" s="13"/>
      <c r="K94" s="13"/>
      <c r="L94" s="14">
        <f>IF(SUM(O95:O96)=SUM(P95:P96),1,2)</f>
        <v>1</v>
      </c>
      <c r="M94" s="15" t="s">
        <v>43</v>
      </c>
      <c r="N94" s="83" t="s">
        <v>44</v>
      </c>
      <c r="O94" s="84" t="s">
        <v>19</v>
      </c>
      <c r="P94" s="84" t="s">
        <v>21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54.9" customHeight="1" thickBot="1" x14ac:dyDescent="0.35">
      <c r="A95" s="954"/>
      <c r="B95" s="763"/>
      <c r="C95" s="53" t="s">
        <v>18</v>
      </c>
      <c r="D95" s="238">
        <f>D97+D99</f>
        <v>82.070309999999992</v>
      </c>
      <c r="E95" s="238">
        <f>E97+E99</f>
        <v>82.070309999999992</v>
      </c>
      <c r="F95" s="506"/>
      <c r="G95" s="503"/>
      <c r="H95" s="54"/>
      <c r="I95" s="443"/>
      <c r="J95" s="26"/>
      <c r="K95" s="26"/>
      <c r="L95" s="27"/>
      <c r="M95" s="434" t="s">
        <v>96</v>
      </c>
      <c r="N95" s="435" t="s">
        <v>97</v>
      </c>
      <c r="O95" s="513">
        <v>0</v>
      </c>
      <c r="P95" s="513">
        <v>0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68.25" customHeight="1" thickBot="1" x14ac:dyDescent="0.35">
      <c r="A96" s="955" t="s">
        <v>98</v>
      </c>
      <c r="B96" s="778" t="s">
        <v>99</v>
      </c>
      <c r="C96" s="43" t="s">
        <v>13</v>
      </c>
      <c r="D96" s="85">
        <f>D97</f>
        <v>60.156999999999996</v>
      </c>
      <c r="E96" s="85">
        <f>E97</f>
        <v>60.156999999999996</v>
      </c>
      <c r="F96" s="507">
        <f t="shared" si="15"/>
        <v>1</v>
      </c>
      <c r="G96" s="504">
        <f>E96/D96*100</f>
        <v>100</v>
      </c>
      <c r="H96" s="86">
        <f>J96+K96</f>
        <v>80</v>
      </c>
      <c r="I96" s="30">
        <f t="shared" si="16"/>
        <v>25</v>
      </c>
      <c r="J96" s="31">
        <f>IF((F96&gt;0)*(F96),20,0)</f>
        <v>20</v>
      </c>
      <c r="K96" s="31">
        <f>IF(L96=1,60,30)</f>
        <v>60</v>
      </c>
      <c r="L96" s="32">
        <f>IF(SUM(O95:O96)=SUM(P95:P96),1,2)</f>
        <v>1</v>
      </c>
      <c r="M96" s="436" t="s">
        <v>100</v>
      </c>
      <c r="N96" s="437" t="s">
        <v>101</v>
      </c>
      <c r="O96" s="526">
        <v>0</v>
      </c>
      <c r="P96" s="526">
        <v>0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7" ht="54.9" customHeight="1" thickBot="1" x14ac:dyDescent="0.35">
      <c r="A97" s="952"/>
      <c r="B97" s="769"/>
      <c r="C97" s="44" t="s">
        <v>18</v>
      </c>
      <c r="D97" s="87">
        <v>60.156999999999996</v>
      </c>
      <c r="E97" s="87">
        <v>60.156999999999996</v>
      </c>
      <c r="F97" s="405"/>
      <c r="G97" s="501"/>
      <c r="H97" s="18"/>
      <c r="I97" s="30"/>
      <c r="J97" s="31"/>
      <c r="K97" s="20"/>
      <c r="L97" s="35"/>
      <c r="M97" s="15" t="s">
        <v>43</v>
      </c>
      <c r="N97" s="15" t="s">
        <v>44</v>
      </c>
      <c r="O97" s="84" t="s">
        <v>19</v>
      </c>
      <c r="P97" s="84" t="s">
        <v>21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7" ht="43.5" customHeight="1" x14ac:dyDescent="0.3">
      <c r="A98" s="956" t="s">
        <v>102</v>
      </c>
      <c r="B98" s="769" t="s">
        <v>103</v>
      </c>
      <c r="C98" s="44" t="s">
        <v>13</v>
      </c>
      <c r="D98" s="72">
        <f>D99</f>
        <v>21.913309999999999</v>
      </c>
      <c r="E98" s="72">
        <f>E99</f>
        <v>21.913309999999999</v>
      </c>
      <c r="F98" s="405">
        <f t="shared" si="15"/>
        <v>1</v>
      </c>
      <c r="G98" s="501">
        <f>E98/D98*100</f>
        <v>100</v>
      </c>
      <c r="H98" s="18">
        <f>J98+K98</f>
        <v>80</v>
      </c>
      <c r="I98" s="30">
        <f t="shared" si="16"/>
        <v>25</v>
      </c>
      <c r="J98" s="31">
        <f t="shared" ref="J98:J103" si="20">IF((F98&gt;0)*(F98),20,0)</f>
        <v>20</v>
      </c>
      <c r="K98" s="20">
        <f>IF(L98=1,60,30)</f>
        <v>60</v>
      </c>
      <c r="L98" s="35">
        <f>IF(SUM(O98:O99)=SUM(P98:P99),1,IF(SUM(O98:O99)&gt;SUM(P98:P99),1,2))</f>
        <v>1</v>
      </c>
      <c r="M98" s="438" t="s">
        <v>104</v>
      </c>
      <c r="N98" s="435" t="s">
        <v>97</v>
      </c>
      <c r="O98" s="513">
        <v>19</v>
      </c>
      <c r="P98" s="513">
        <v>15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7" ht="69.75" customHeight="1" thickBot="1" x14ac:dyDescent="0.35">
      <c r="A99" s="957"/>
      <c r="B99" s="769"/>
      <c r="C99" s="44" t="s">
        <v>18</v>
      </c>
      <c r="D99" s="72">
        <v>21.913309999999999</v>
      </c>
      <c r="E99" s="72">
        <v>21.913309999999999</v>
      </c>
      <c r="F99" s="405"/>
      <c r="G99" s="501"/>
      <c r="H99" s="18"/>
      <c r="I99" s="30"/>
      <c r="J99" s="31"/>
      <c r="K99" s="20"/>
      <c r="L99" s="35"/>
      <c r="M99" s="439" t="s">
        <v>428</v>
      </c>
      <c r="N99" s="440" t="s">
        <v>429</v>
      </c>
      <c r="O99" s="256">
        <v>0.3</v>
      </c>
      <c r="P99" s="256">
        <v>0.3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7" ht="21" customHeight="1" thickBot="1" x14ac:dyDescent="0.35">
      <c r="A100" s="957"/>
      <c r="B100" s="769"/>
      <c r="C100" s="44"/>
      <c r="D100" s="88"/>
      <c r="E100" s="88"/>
      <c r="F100" s="405"/>
      <c r="G100" s="501"/>
      <c r="H100" s="18"/>
      <c r="I100" s="30"/>
      <c r="J100" s="31"/>
      <c r="K100" s="20"/>
      <c r="L100" s="3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7" ht="54.9" customHeight="1" thickBot="1" x14ac:dyDescent="0.35">
      <c r="A101" s="958">
        <v>10</v>
      </c>
      <c r="B101" s="754" t="s">
        <v>105</v>
      </c>
      <c r="C101" s="16" t="s">
        <v>13</v>
      </c>
      <c r="D101" s="79">
        <f>D102</f>
        <v>100</v>
      </c>
      <c r="E101" s="79">
        <f>E102</f>
        <v>0</v>
      </c>
      <c r="F101" s="405">
        <v>100</v>
      </c>
      <c r="G101" s="501">
        <f t="shared" ref="G101" si="21">IF(E101=0,100,(E101/D101*100))</f>
        <v>100</v>
      </c>
      <c r="H101" s="450">
        <f>IF(E103=0,H103,(H103*E103)/E101)</f>
        <v>80</v>
      </c>
      <c r="I101" s="30"/>
      <c r="J101" s="31"/>
      <c r="K101" s="20"/>
      <c r="L101" s="35">
        <f>IF(SUM(O102:O105)=SUM(P102:P105),1,2)</f>
        <v>2</v>
      </c>
      <c r="M101" s="15" t="s">
        <v>43</v>
      </c>
      <c r="N101" s="83" t="s">
        <v>44</v>
      </c>
      <c r="O101" s="84" t="s">
        <v>19</v>
      </c>
      <c r="P101" s="84" t="s">
        <v>21</v>
      </c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8"/>
      <c r="AF101" s="58"/>
      <c r="AG101" s="58"/>
      <c r="AH101" s="58"/>
      <c r="AI101" s="58"/>
      <c r="AJ101" s="58"/>
      <c r="AK101" s="58"/>
    </row>
    <row r="102" spans="1:37" ht="80.25" customHeight="1" thickBot="1" x14ac:dyDescent="0.35">
      <c r="A102" s="958"/>
      <c r="B102" s="754"/>
      <c r="C102" s="16" t="s">
        <v>18</v>
      </c>
      <c r="D102" s="79">
        <f>D104+D106</f>
        <v>100</v>
      </c>
      <c r="E102" s="79">
        <f>E104+E106</f>
        <v>0</v>
      </c>
      <c r="F102" s="405"/>
      <c r="G102" s="501"/>
      <c r="H102" s="18"/>
      <c r="I102" s="30"/>
      <c r="J102" s="31"/>
      <c r="K102" s="20"/>
      <c r="L102" s="35"/>
      <c r="M102" s="15" t="s">
        <v>106</v>
      </c>
      <c r="N102" s="417" t="s">
        <v>107</v>
      </c>
      <c r="O102" s="90">
        <v>0</v>
      </c>
      <c r="P102" s="90">
        <v>0</v>
      </c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8"/>
      <c r="AF102" s="58"/>
      <c r="AG102" s="58"/>
      <c r="AH102" s="58"/>
      <c r="AI102" s="58"/>
      <c r="AJ102" s="58"/>
      <c r="AK102" s="58"/>
    </row>
    <row r="103" spans="1:37" ht="105.75" customHeight="1" thickBot="1" x14ac:dyDescent="0.35">
      <c r="A103" s="959" t="s">
        <v>108</v>
      </c>
      <c r="B103" s="755" t="s">
        <v>109</v>
      </c>
      <c r="C103" s="66" t="s">
        <v>13</v>
      </c>
      <c r="D103" s="599">
        <f>D104</f>
        <v>100</v>
      </c>
      <c r="E103" s="599">
        <f>E104</f>
        <v>0</v>
      </c>
      <c r="F103" s="405">
        <f>IF(E103=0,100,(E103/D103*100%))</f>
        <v>100</v>
      </c>
      <c r="G103" s="501">
        <f>IF(E103=0,100,(E103/D103*100))</f>
        <v>100</v>
      </c>
      <c r="H103" s="18">
        <f t="shared" ref="H103" si="22">J103+K103</f>
        <v>80</v>
      </c>
      <c r="I103" s="30">
        <f t="shared" si="16"/>
        <v>25</v>
      </c>
      <c r="J103" s="31">
        <f t="shared" si="20"/>
        <v>20</v>
      </c>
      <c r="K103" s="20">
        <f t="shared" ref="K103" si="23">IF(L103=1,60,30)</f>
        <v>60</v>
      </c>
      <c r="L103" s="35">
        <f>IF(SUM(O102:O104)=SUM(P102:P104),1,2)</f>
        <v>1</v>
      </c>
      <c r="M103" s="15" t="s">
        <v>110</v>
      </c>
      <c r="N103" s="417" t="s">
        <v>107</v>
      </c>
      <c r="O103" s="90">
        <v>0</v>
      </c>
      <c r="P103" s="90">
        <v>0</v>
      </c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8"/>
      <c r="AF103" s="58"/>
      <c r="AG103" s="58"/>
      <c r="AH103" s="58"/>
      <c r="AI103" s="58"/>
      <c r="AJ103" s="58"/>
      <c r="AK103" s="58"/>
    </row>
    <row r="104" spans="1:37" ht="54.9" customHeight="1" thickBot="1" x14ac:dyDescent="0.35">
      <c r="A104" s="959"/>
      <c r="B104" s="755"/>
      <c r="C104" s="66" t="s">
        <v>18</v>
      </c>
      <c r="D104" s="600">
        <v>100</v>
      </c>
      <c r="E104" s="600">
        <v>0</v>
      </c>
      <c r="F104" s="17"/>
      <c r="G104" s="17"/>
      <c r="H104" s="612"/>
      <c r="I104" s="19"/>
      <c r="J104" s="20"/>
      <c r="K104" s="20"/>
      <c r="L104" s="35"/>
      <c r="M104" s="15" t="s">
        <v>111</v>
      </c>
      <c r="N104" s="441" t="s">
        <v>112</v>
      </c>
      <c r="O104" s="90">
        <v>0</v>
      </c>
      <c r="P104" s="90">
        <v>0</v>
      </c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8"/>
      <c r="AF104" s="58"/>
      <c r="AG104" s="58"/>
      <c r="AH104" s="58"/>
      <c r="AI104" s="58"/>
      <c r="AJ104" s="58"/>
      <c r="AK104" s="58"/>
    </row>
    <row r="105" spans="1:37" ht="71.25" customHeight="1" thickBot="1" x14ac:dyDescent="0.35">
      <c r="A105" s="959" t="s">
        <v>113</v>
      </c>
      <c r="B105" s="756" t="s">
        <v>114</v>
      </c>
      <c r="C105" s="46" t="s">
        <v>13</v>
      </c>
      <c r="D105" s="758" t="s">
        <v>39</v>
      </c>
      <c r="E105" s="759"/>
      <c r="F105" s="759"/>
      <c r="G105" s="759"/>
      <c r="H105" s="759"/>
      <c r="I105" s="759"/>
      <c r="J105" s="759"/>
      <c r="K105" s="760"/>
      <c r="L105" s="47">
        <f>IF(O105=P105,1,2)</f>
        <v>2</v>
      </c>
      <c r="M105" s="15" t="s">
        <v>483</v>
      </c>
      <c r="N105" s="417" t="s">
        <v>107</v>
      </c>
      <c r="O105" s="90">
        <v>98</v>
      </c>
      <c r="P105" s="90">
        <v>95</v>
      </c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8"/>
      <c r="AF105" s="58"/>
      <c r="AG105" s="58"/>
      <c r="AH105" s="58"/>
      <c r="AI105" s="58"/>
      <c r="AJ105" s="58"/>
      <c r="AK105" s="58"/>
    </row>
    <row r="106" spans="1:37" ht="54.9" customHeight="1" thickBot="1" x14ac:dyDescent="0.35">
      <c r="A106" s="959"/>
      <c r="B106" s="757"/>
      <c r="C106" s="50" t="s">
        <v>18</v>
      </c>
      <c r="D106" s="91">
        <v>0</v>
      </c>
      <c r="E106" s="91">
        <v>0</v>
      </c>
      <c r="F106" s="52"/>
      <c r="G106" s="52"/>
      <c r="H106" s="401"/>
      <c r="I106" s="384"/>
      <c r="J106" s="385"/>
      <c r="K106" s="385"/>
      <c r="L106" s="385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8"/>
      <c r="AF106" s="58"/>
      <c r="AG106" s="58"/>
      <c r="AH106" s="58"/>
      <c r="AI106" s="58"/>
      <c r="AJ106" s="58"/>
      <c r="AK106" s="58"/>
    </row>
    <row r="107" spans="1:37" ht="102.75" customHeight="1" thickBot="1" x14ac:dyDescent="0.35">
      <c r="A107" s="960">
        <v>11</v>
      </c>
      <c r="B107" s="761" t="s">
        <v>115</v>
      </c>
      <c r="C107" s="11" t="s">
        <v>13</v>
      </c>
      <c r="D107" s="497">
        <f t="shared" ref="D107:E110" si="24">D113+D117</f>
        <v>76016.315999999992</v>
      </c>
      <c r="E107" s="497">
        <f t="shared" si="24"/>
        <v>76016.315789999993</v>
      </c>
      <c r="F107" s="505">
        <f t="shared" si="15"/>
        <v>0.99999999723743516</v>
      </c>
      <c r="G107" s="502">
        <v>100</v>
      </c>
      <c r="H107" s="450">
        <f>(H113*E113+H117*E117)/E107</f>
        <v>90</v>
      </c>
      <c r="I107" s="12"/>
      <c r="J107" s="13"/>
      <c r="K107" s="13"/>
      <c r="L107" s="14">
        <f>IF(SUM(N108:S108)=SUM(N109:S109),1,IF(SUM(N108:S108)&lt;SUM(N109:S109),1,2))</f>
        <v>1</v>
      </c>
      <c r="M107" s="391" t="s">
        <v>14</v>
      </c>
      <c r="N107" s="396" t="s">
        <v>116</v>
      </c>
      <c r="O107" s="397" t="s">
        <v>352</v>
      </c>
      <c r="P107" s="397" t="s">
        <v>118</v>
      </c>
      <c r="Q107" s="397" t="s">
        <v>119</v>
      </c>
      <c r="R107" s="397" t="s">
        <v>120</v>
      </c>
      <c r="S107" s="397" t="s">
        <v>433</v>
      </c>
      <c r="T107" s="458" t="s">
        <v>494</v>
      </c>
      <c r="U107" s="259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7" ht="33" customHeight="1" thickBot="1" x14ac:dyDescent="0.35">
      <c r="A108" s="961"/>
      <c r="B108" s="762"/>
      <c r="C108" s="16" t="s">
        <v>18</v>
      </c>
      <c r="D108" s="717">
        <f t="shared" si="24"/>
        <v>16.315999999999999</v>
      </c>
      <c r="E108" s="498">
        <f t="shared" si="24"/>
        <v>16.31579</v>
      </c>
      <c r="F108" s="17"/>
      <c r="G108" s="17"/>
      <c r="H108" s="18"/>
      <c r="I108" s="19"/>
      <c r="J108" s="20"/>
      <c r="K108" s="20"/>
      <c r="L108" s="21"/>
      <c r="M108" s="392" t="s">
        <v>19</v>
      </c>
      <c r="N108" s="512">
        <v>0</v>
      </c>
      <c r="O108" s="513">
        <v>0</v>
      </c>
      <c r="P108" s="256">
        <v>1</v>
      </c>
      <c r="Q108" s="513">
        <v>1.1200000000000001</v>
      </c>
      <c r="R108" s="513">
        <v>8.3000000000000007</v>
      </c>
      <c r="S108" s="513">
        <v>0</v>
      </c>
      <c r="T108" s="457">
        <v>1</v>
      </c>
      <c r="U108" s="103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7" ht="33" customHeight="1" thickBot="1" x14ac:dyDescent="0.35">
      <c r="A109" s="961"/>
      <c r="B109" s="762"/>
      <c r="C109" s="16" t="s">
        <v>20</v>
      </c>
      <c r="D109" s="498">
        <f t="shared" si="24"/>
        <v>310</v>
      </c>
      <c r="E109" s="498">
        <f t="shared" si="24"/>
        <v>310</v>
      </c>
      <c r="F109" s="17"/>
      <c r="G109" s="17"/>
      <c r="H109" s="18"/>
      <c r="I109" s="19"/>
      <c r="J109" s="20"/>
      <c r="K109" s="20"/>
      <c r="L109" s="21"/>
      <c r="M109" s="84" t="s">
        <v>21</v>
      </c>
      <c r="N109" s="522">
        <v>0</v>
      </c>
      <c r="O109" s="522">
        <v>0</v>
      </c>
      <c r="P109" s="256">
        <v>1</v>
      </c>
      <c r="Q109" s="523">
        <v>1.1200000000000001</v>
      </c>
      <c r="R109" s="523">
        <v>8.3000000000000007</v>
      </c>
      <c r="S109" s="521">
        <v>0</v>
      </c>
      <c r="T109" s="456">
        <v>0</v>
      </c>
      <c r="U109" s="103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7" ht="92.25" customHeight="1" thickBot="1" x14ac:dyDescent="0.35">
      <c r="A110" s="962"/>
      <c r="B110" s="763"/>
      <c r="C110" s="53" t="s">
        <v>68</v>
      </c>
      <c r="D110" s="499">
        <f t="shared" si="24"/>
        <v>75690</v>
      </c>
      <c r="E110" s="499">
        <f t="shared" si="24"/>
        <v>75690</v>
      </c>
      <c r="F110" s="23"/>
      <c r="G110" s="23"/>
      <c r="H110" s="54"/>
      <c r="I110" s="25"/>
      <c r="J110" s="26"/>
      <c r="K110" s="26"/>
      <c r="L110" s="386"/>
      <c r="M110" s="83" t="s">
        <v>14</v>
      </c>
      <c r="N110" s="393" t="s">
        <v>116</v>
      </c>
      <c r="O110" s="394" t="s">
        <v>117</v>
      </c>
      <c r="P110" s="394" t="s">
        <v>118</v>
      </c>
      <c r="Q110" s="394" t="s">
        <v>119</v>
      </c>
      <c r="R110" s="394" t="s">
        <v>120</v>
      </c>
      <c r="S110" s="397" t="s">
        <v>431</v>
      </c>
      <c r="T110" s="395" t="s">
        <v>430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7" ht="36.75" customHeight="1" thickBot="1" x14ac:dyDescent="0.35">
      <c r="A111" s="963" t="s">
        <v>121</v>
      </c>
      <c r="B111" s="764" t="s">
        <v>122</v>
      </c>
      <c r="C111" s="59" t="s">
        <v>13</v>
      </c>
      <c r="D111" s="766" t="s">
        <v>39</v>
      </c>
      <c r="E111" s="767"/>
      <c r="F111" s="767"/>
      <c r="G111" s="767"/>
      <c r="H111" s="767"/>
      <c r="I111" s="767"/>
      <c r="J111" s="767"/>
      <c r="K111" s="768"/>
      <c r="L111" s="387">
        <f>IF(SUM(N111:O111)=SUM(N112:O112),1,2)</f>
        <v>1</v>
      </c>
      <c r="M111" s="84" t="s">
        <v>19</v>
      </c>
      <c r="N111" s="524">
        <v>0</v>
      </c>
      <c r="O111" s="256">
        <v>0</v>
      </c>
      <c r="P111" s="256">
        <v>1</v>
      </c>
      <c r="Q111" s="256">
        <v>1.1200000000000001</v>
      </c>
      <c r="R111" s="256">
        <v>8.3000000000000007</v>
      </c>
      <c r="S111" s="256">
        <v>0</v>
      </c>
      <c r="T111" s="455">
        <v>1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7" ht="31.5" customHeight="1" thickBot="1" x14ac:dyDescent="0.35">
      <c r="A112" s="964"/>
      <c r="B112" s="765"/>
      <c r="C112" s="46" t="s">
        <v>18</v>
      </c>
      <c r="D112" s="92"/>
      <c r="E112" s="93"/>
      <c r="F112" s="52"/>
      <c r="G112" s="52"/>
      <c r="H112" s="401"/>
      <c r="I112" s="384"/>
      <c r="J112" s="385"/>
      <c r="K112" s="385"/>
      <c r="L112" s="408"/>
      <c r="M112" s="84" t="s">
        <v>21</v>
      </c>
      <c r="N112" s="522">
        <v>0</v>
      </c>
      <c r="O112" s="521">
        <v>0</v>
      </c>
      <c r="P112" s="256">
        <v>1</v>
      </c>
      <c r="Q112" s="256">
        <v>1.1200000000000001</v>
      </c>
      <c r="R112" s="256">
        <v>8.3000000000000007</v>
      </c>
      <c r="S112" s="521">
        <v>0</v>
      </c>
      <c r="T112" s="456">
        <v>0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54" customHeight="1" x14ac:dyDescent="0.3">
      <c r="A113" s="963" t="s">
        <v>123</v>
      </c>
      <c r="B113" s="751" t="s">
        <v>124</v>
      </c>
      <c r="C113" s="94" t="s">
        <v>13</v>
      </c>
      <c r="D113" s="95">
        <f>D114+D115+D116</f>
        <v>31016.315999999999</v>
      </c>
      <c r="E113" s="643">
        <f>E114+E115+E116</f>
        <v>31016.315790000001</v>
      </c>
      <c r="F113" s="405">
        <f t="shared" ref="F113" si="25">E113/D113*100%</f>
        <v>0.99999999322937005</v>
      </c>
      <c r="G113" s="501">
        <v>100</v>
      </c>
      <c r="H113" s="459">
        <f>I113+J113+K113</f>
        <v>90</v>
      </c>
      <c r="I113" s="268">
        <f>IF(G113&gt;99.99,25,IF((G113&gt;90)*(G113&lt;100),0,IF((G113&gt;70)*(G113&lt;90),-10,IF((G113&gt;50)*(G113&lt;70),-25,-50))))</f>
        <v>25</v>
      </c>
      <c r="J113" s="268">
        <f>IF((F113&gt;0)*(F113&lt;5),10,0)</f>
        <v>10</v>
      </c>
      <c r="K113" s="268">
        <f>IF(L113=1,55,10)</f>
        <v>55</v>
      </c>
      <c r="L113" s="35">
        <f>IF(SUM(P111:R111)=SUM(P112:R112),1,IF(SUM(P111:R111)&lt;SUM(P112:R112),1,2))</f>
        <v>1</v>
      </c>
      <c r="M113" s="105"/>
      <c r="N113" s="262"/>
      <c r="O113" s="262"/>
      <c r="P113" s="376"/>
      <c r="Q113" s="376"/>
      <c r="R113" s="376"/>
      <c r="S113" s="262"/>
      <c r="T113" s="262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37.5" customHeight="1" x14ac:dyDescent="0.3">
      <c r="A114" s="965"/>
      <c r="B114" s="752"/>
      <c r="C114" s="96" t="s">
        <v>18</v>
      </c>
      <c r="D114" s="97">
        <v>16.315999999999999</v>
      </c>
      <c r="E114" s="644">
        <v>16.31579</v>
      </c>
      <c r="F114" s="405"/>
      <c r="G114" s="501">
        <v>100</v>
      </c>
      <c r="H114" s="98"/>
      <c r="I114" s="99"/>
      <c r="J114" s="268"/>
      <c r="K114" s="99"/>
      <c r="L114" s="35"/>
      <c r="M114" s="105"/>
      <c r="N114" s="262"/>
      <c r="O114" s="262"/>
      <c r="P114" s="376"/>
      <c r="Q114" s="376"/>
      <c r="R114" s="376"/>
      <c r="S114" s="262"/>
      <c r="T114" s="262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36" customHeight="1" x14ac:dyDescent="0.3">
      <c r="A115" s="965"/>
      <c r="B115" s="752"/>
      <c r="C115" s="96" t="s">
        <v>20</v>
      </c>
      <c r="D115" s="97">
        <v>310</v>
      </c>
      <c r="E115" s="644">
        <v>310</v>
      </c>
      <c r="F115" s="405"/>
      <c r="G115" s="501">
        <f t="shared" ref="G115:G120" si="26">E115/D115*100</f>
        <v>100</v>
      </c>
      <c r="H115" s="98"/>
      <c r="I115" s="99"/>
      <c r="J115" s="268"/>
      <c r="K115" s="99"/>
      <c r="L115" s="35"/>
      <c r="M115" s="105"/>
      <c r="N115" s="262"/>
      <c r="O115" s="262"/>
      <c r="P115" s="103"/>
      <c r="Q115" s="103"/>
      <c r="R115" s="106"/>
      <c r="S115" s="260"/>
      <c r="T115" s="260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39.75" customHeight="1" thickBot="1" x14ac:dyDescent="0.35">
      <c r="A116" s="964"/>
      <c r="B116" s="753"/>
      <c r="C116" s="100" t="s">
        <v>68</v>
      </c>
      <c r="D116" s="607">
        <v>30690</v>
      </c>
      <c r="E116" s="607">
        <v>30690</v>
      </c>
      <c r="F116" s="405"/>
      <c r="G116" s="501">
        <f t="shared" si="26"/>
        <v>100</v>
      </c>
      <c r="H116" s="101"/>
      <c r="I116" s="30"/>
      <c r="J116" s="268"/>
      <c r="K116" s="31"/>
      <c r="L116" s="35"/>
      <c r="M116" s="105"/>
      <c r="N116" s="262"/>
      <c r="O116" s="262"/>
      <c r="P116" s="103"/>
      <c r="Q116" s="103"/>
      <c r="R116" s="106"/>
      <c r="S116" s="260"/>
      <c r="T116" s="260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45" customHeight="1" thickBot="1" x14ac:dyDescent="0.35">
      <c r="A117" s="966" t="s">
        <v>125</v>
      </c>
      <c r="B117" s="742" t="s">
        <v>432</v>
      </c>
      <c r="C117" s="96" t="s">
        <v>13</v>
      </c>
      <c r="D117" s="104">
        <f>D118+D119+D120</f>
        <v>45000</v>
      </c>
      <c r="E117" s="104">
        <f>E118+E119+E120</f>
        <v>45000</v>
      </c>
      <c r="F117" s="405">
        <f t="shared" ref="F117" si="27">E117/D117*100%</f>
        <v>1</v>
      </c>
      <c r="G117" s="501">
        <f>IF(N119=0,O119,(E117/D117*100))</f>
        <v>80</v>
      </c>
      <c r="H117" s="34">
        <f>I117+J117+K117</f>
        <v>90</v>
      </c>
      <c r="I117" s="19">
        <f>IF(G120=100,25,IF((G120&gt;90)*(G120&lt;100),0,IF((G120&gt;70)*(G120&lt;90),-10,IF((G120&gt;50)*(G120&lt;70),-25,-50))))</f>
        <v>25</v>
      </c>
      <c r="J117" s="268">
        <f t="shared" ref="J117" si="28">IF((F117&gt;0)*(F117&lt;5),10,0)</f>
        <v>10</v>
      </c>
      <c r="K117" s="267">
        <f>IF(L117=1,55,10)</f>
        <v>55</v>
      </c>
      <c r="L117" s="35">
        <f>IF(SUM(N118:Q118)=SUM(N119:Q119),1,IF(SUM(N119:Q119)&gt;SUM(N118:Q118),1,2))</f>
        <v>1</v>
      </c>
      <c r="M117" s="83" t="s">
        <v>14</v>
      </c>
      <c r="N117" s="395" t="s">
        <v>492</v>
      </c>
      <c r="O117" s="982" t="s">
        <v>493</v>
      </c>
      <c r="P117" s="745"/>
      <c r="Q117" s="745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5"/>
      <c r="AC117" s="5"/>
      <c r="AD117" s="5"/>
    </row>
    <row r="118" spans="1:30" ht="31.5" customHeight="1" thickBot="1" x14ac:dyDescent="0.35">
      <c r="A118" s="967"/>
      <c r="B118" s="743"/>
      <c r="C118" s="96" t="s">
        <v>18</v>
      </c>
      <c r="D118" s="104">
        <v>0</v>
      </c>
      <c r="E118" s="104">
        <v>0</v>
      </c>
      <c r="F118" s="719"/>
      <c r="G118" s="501"/>
      <c r="H118" s="34"/>
      <c r="I118" s="19"/>
      <c r="J118" s="20"/>
      <c r="K118" s="20"/>
      <c r="L118" s="35"/>
      <c r="M118" s="84" t="s">
        <v>19</v>
      </c>
      <c r="N118" s="981">
        <v>1</v>
      </c>
      <c r="O118" s="256">
        <v>50</v>
      </c>
      <c r="P118" s="745"/>
      <c r="Q118" s="745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5"/>
      <c r="AC118" s="5"/>
      <c r="AD118" s="5"/>
    </row>
    <row r="119" spans="1:30" ht="31.5" customHeight="1" thickBot="1" x14ac:dyDescent="0.35">
      <c r="A119" s="967"/>
      <c r="B119" s="743"/>
      <c r="C119" s="96" t="s">
        <v>20</v>
      </c>
      <c r="D119" s="104">
        <v>0</v>
      </c>
      <c r="E119" s="104">
        <v>0</v>
      </c>
      <c r="F119" s="501"/>
      <c r="G119" s="501"/>
      <c r="H119" s="74"/>
      <c r="I119" s="19"/>
      <c r="J119" s="20"/>
      <c r="K119" s="20"/>
      <c r="L119" s="35"/>
      <c r="M119" s="84" t="s">
        <v>21</v>
      </c>
      <c r="N119" s="456">
        <v>0</v>
      </c>
      <c r="O119" s="983">
        <v>80</v>
      </c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5"/>
      <c r="AC119" s="5"/>
      <c r="AD119" s="5"/>
    </row>
    <row r="120" spans="1:30" ht="31.2" x14ac:dyDescent="0.3">
      <c r="A120" s="968"/>
      <c r="B120" s="744"/>
      <c r="C120" s="96" t="s">
        <v>68</v>
      </c>
      <c r="D120" s="641">
        <v>45000</v>
      </c>
      <c r="E120" s="641">
        <v>45000</v>
      </c>
      <c r="F120" s="501"/>
      <c r="G120" s="501">
        <f t="shared" si="26"/>
        <v>100</v>
      </c>
      <c r="H120" s="74"/>
      <c r="I120" s="19"/>
      <c r="J120" s="20"/>
      <c r="K120" s="20"/>
      <c r="L120" s="35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5"/>
      <c r="AC120" s="5"/>
      <c r="AD120" s="5"/>
    </row>
    <row r="121" spans="1:30" ht="82.5" customHeight="1" x14ac:dyDescent="0.3">
      <c r="A121" s="969" t="s">
        <v>126</v>
      </c>
      <c r="B121" s="740" t="s">
        <v>127</v>
      </c>
      <c r="C121" s="407" t="s">
        <v>13</v>
      </c>
      <c r="D121" s="748" t="s">
        <v>163</v>
      </c>
      <c r="E121" s="749"/>
      <c r="F121" s="749"/>
      <c r="G121" s="749"/>
      <c r="H121" s="749"/>
      <c r="I121" s="749"/>
      <c r="J121" s="749"/>
      <c r="K121" s="749"/>
      <c r="L121" s="750"/>
      <c r="M121" s="258" t="s">
        <v>14</v>
      </c>
      <c r="N121" s="398" t="s">
        <v>326</v>
      </c>
      <c r="O121" s="263"/>
      <c r="P121" s="26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5"/>
      <c r="AC121" s="5"/>
      <c r="AD121" s="5"/>
    </row>
    <row r="122" spans="1:30" ht="82.5" customHeight="1" x14ac:dyDescent="0.3">
      <c r="A122" s="969"/>
      <c r="B122" s="741"/>
      <c r="C122" s="407" t="s">
        <v>353</v>
      </c>
      <c r="D122" s="746" t="s">
        <v>163</v>
      </c>
      <c r="E122" s="747"/>
      <c r="F122" s="52"/>
      <c r="G122" s="52"/>
      <c r="H122" s="399">
        <f>I122+J122+K122</f>
        <v>55</v>
      </c>
      <c r="I122" s="89"/>
      <c r="J122" s="47"/>
      <c r="K122" s="47">
        <f>IF(L122=1,55,10)</f>
        <v>55</v>
      </c>
      <c r="L122" s="400">
        <f>IF(SUM(N122)=SUM(N123),1,2)</f>
        <v>1</v>
      </c>
      <c r="M122" s="261" t="s">
        <v>19</v>
      </c>
      <c r="N122" s="402">
        <v>0</v>
      </c>
      <c r="O122" s="263"/>
      <c r="P122" s="26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5"/>
      <c r="AC122" s="5"/>
      <c r="AD122" s="5"/>
    </row>
    <row r="123" spans="1:30" ht="82.5" customHeight="1" x14ac:dyDescent="0.3">
      <c r="A123" s="969"/>
      <c r="B123" s="741"/>
      <c r="C123" s="407" t="s">
        <v>354</v>
      </c>
      <c r="D123" s="746" t="s">
        <v>163</v>
      </c>
      <c r="E123" s="747"/>
      <c r="F123" s="52"/>
      <c r="G123" s="52"/>
      <c r="H123" s="399"/>
      <c r="I123" s="89"/>
      <c r="J123" s="47"/>
      <c r="K123" s="47"/>
      <c r="L123" s="47"/>
      <c r="M123" s="979" t="s">
        <v>21</v>
      </c>
      <c r="N123" s="402">
        <v>0</v>
      </c>
      <c r="O123" s="263"/>
      <c r="P123" s="26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5"/>
      <c r="AC123" s="5"/>
      <c r="AD123" s="5"/>
    </row>
    <row r="124" spans="1:30" ht="82.5" customHeight="1" x14ac:dyDescent="0.3">
      <c r="A124" s="969"/>
      <c r="B124" s="741"/>
      <c r="C124" s="407" t="s">
        <v>355</v>
      </c>
      <c r="D124" s="746" t="s">
        <v>163</v>
      </c>
      <c r="E124" s="747"/>
      <c r="F124" s="52"/>
      <c r="G124" s="52"/>
      <c r="H124" s="399"/>
      <c r="I124" s="89"/>
      <c r="J124" s="47"/>
      <c r="K124" s="47"/>
      <c r="L124" s="47"/>
      <c r="M124" s="257"/>
      <c r="N124" s="265"/>
      <c r="O124" s="263"/>
      <c r="P124" s="26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5"/>
      <c r="AC124" s="5"/>
      <c r="AD124" s="5"/>
    </row>
    <row r="125" spans="1:30" ht="50.25" customHeight="1" thickBot="1" x14ac:dyDescent="0.35">
      <c r="A125" s="970"/>
      <c r="B125" s="741"/>
      <c r="C125" s="401" t="s">
        <v>18</v>
      </c>
      <c r="D125" s="746" t="s">
        <v>163</v>
      </c>
      <c r="E125" s="747"/>
      <c r="F125" s="52"/>
      <c r="G125" s="52"/>
      <c r="H125" s="401"/>
      <c r="I125" s="384"/>
      <c r="J125" s="385"/>
      <c r="K125" s="385"/>
      <c r="L125" s="47"/>
      <c r="O125" s="263"/>
      <c r="P125" s="263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54.9" customHeight="1" thickBot="1" x14ac:dyDescent="0.35">
      <c r="A126" s="971"/>
      <c r="B126" s="476" t="s">
        <v>128</v>
      </c>
      <c r="C126" s="976"/>
      <c r="D126" s="977">
        <f>D107+D101+D94+D78+D57+D47+D38+D29+D21+D3</f>
        <v>126240.2484</v>
      </c>
      <c r="E126" s="978">
        <f>E107+E101+E94+E78+E57+E47+E38+E29+E21+E3</f>
        <v>125821.82395999999</v>
      </c>
      <c r="F126" s="107"/>
      <c r="G126" s="107">
        <f>E126/D126*100</f>
        <v>99.668549099591289</v>
      </c>
      <c r="H126" s="108"/>
      <c r="I126" s="477"/>
      <c r="J126" s="478"/>
      <c r="K126" s="478"/>
      <c r="L126" s="980"/>
      <c r="O126" s="263"/>
      <c r="P126" s="263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54.9" customHeight="1" outlineLevel="1" x14ac:dyDescent="0.3">
      <c r="A127" s="109"/>
      <c r="B127" s="110"/>
      <c r="C127" s="975"/>
      <c r="D127" s="475"/>
      <c r="E127" s="475"/>
      <c r="F127" s="111"/>
      <c r="G127" s="112"/>
      <c r="H127" s="112"/>
      <c r="I127" s="112"/>
      <c r="M127" s="264"/>
      <c r="N127" s="263"/>
      <c r="O127" s="263"/>
      <c r="P127" s="263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54.9" customHeight="1" x14ac:dyDescent="0.3">
      <c r="A128" s="109"/>
      <c r="B128" s="112"/>
      <c r="C128" s="474"/>
      <c r="D128" s="475"/>
      <c r="E128" s="475"/>
      <c r="F128" s="111"/>
      <c r="G128" s="112"/>
      <c r="H128" s="112"/>
      <c r="I128" s="112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7" ht="54.9" customHeight="1" x14ac:dyDescent="0.3">
      <c r="A129" s="114"/>
      <c r="B129" s="115"/>
      <c r="C129" s="115"/>
      <c r="D129" s="116"/>
      <c r="E129" s="116"/>
      <c r="F129" s="117"/>
      <c r="G129" s="115"/>
      <c r="H129" s="115"/>
      <c r="I129" s="115"/>
      <c r="J129" s="58"/>
      <c r="K129" s="58"/>
      <c r="L129" s="58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8"/>
      <c r="AF129" s="58"/>
      <c r="AG129" s="58"/>
      <c r="AH129" s="58"/>
      <c r="AI129" s="58"/>
      <c r="AJ129" s="58"/>
      <c r="AK129" s="58"/>
    </row>
    <row r="130" spans="1:37" ht="54.9" customHeight="1" x14ac:dyDescent="0.3">
      <c r="A130" s="114"/>
      <c r="B130" s="115"/>
      <c r="C130" s="115"/>
      <c r="D130" s="116"/>
      <c r="E130" s="116"/>
      <c r="F130" s="117"/>
      <c r="G130" s="115"/>
      <c r="H130" s="115"/>
      <c r="I130" s="115"/>
      <c r="J130" s="58"/>
      <c r="K130" s="58"/>
      <c r="L130" s="58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8"/>
      <c r="AF130" s="58"/>
      <c r="AG130" s="58"/>
      <c r="AH130" s="58"/>
      <c r="AI130" s="58"/>
      <c r="AJ130" s="58"/>
      <c r="AK130" s="58"/>
    </row>
    <row r="131" spans="1:37" ht="54.9" customHeight="1" x14ac:dyDescent="0.3">
      <c r="A131" s="114"/>
      <c r="B131" s="115"/>
      <c r="C131" s="115"/>
      <c r="D131" s="116"/>
      <c r="E131" s="116"/>
      <c r="F131" s="117"/>
      <c r="G131" s="115"/>
      <c r="H131" s="115"/>
      <c r="I131" s="115"/>
      <c r="J131" s="58"/>
      <c r="K131" s="58"/>
      <c r="L131" s="58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8"/>
      <c r="AF131" s="58"/>
      <c r="AG131" s="58"/>
      <c r="AH131" s="58"/>
      <c r="AI131" s="58"/>
      <c r="AJ131" s="58"/>
      <c r="AK131" s="58"/>
    </row>
    <row r="132" spans="1:37" ht="54.9" customHeight="1" x14ac:dyDescent="0.3">
      <c r="A132" s="118"/>
      <c r="B132" s="115"/>
      <c r="C132" s="115"/>
      <c r="D132" s="116"/>
      <c r="E132" s="116"/>
      <c r="F132" s="117"/>
      <c r="G132" s="115"/>
      <c r="H132" s="115"/>
      <c r="I132" s="115"/>
      <c r="J132" s="58"/>
      <c r="K132" s="58"/>
      <c r="L132" s="58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8"/>
      <c r="AF132" s="58"/>
      <c r="AG132" s="58"/>
      <c r="AH132" s="58"/>
      <c r="AI132" s="58"/>
      <c r="AJ132" s="58"/>
      <c r="AK132" s="58"/>
    </row>
    <row r="133" spans="1:37" ht="54.9" customHeight="1" x14ac:dyDescent="0.3">
      <c r="A133" s="109"/>
      <c r="B133" s="112"/>
      <c r="C133" s="112"/>
      <c r="D133" s="119"/>
      <c r="E133" s="119"/>
      <c r="F133" s="111"/>
      <c r="G133" s="112"/>
      <c r="H133" s="112"/>
      <c r="I133" s="112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7" ht="54.9" customHeight="1" x14ac:dyDescent="0.3">
      <c r="A134" s="109"/>
      <c r="B134" s="112"/>
      <c r="C134" s="112"/>
      <c r="D134" s="119"/>
      <c r="E134" s="119"/>
      <c r="F134" s="111"/>
      <c r="G134" s="112"/>
      <c r="H134" s="112"/>
      <c r="I134" s="112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7" ht="60" customHeight="1" x14ac:dyDescent="0.3">
      <c r="A135" s="109"/>
      <c r="B135" s="112"/>
      <c r="C135" s="112"/>
      <c r="D135" s="119"/>
      <c r="E135" s="119"/>
      <c r="F135" s="111"/>
      <c r="G135" s="112"/>
      <c r="H135" s="112"/>
      <c r="I135" s="112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7" ht="60" customHeight="1" x14ac:dyDescent="0.3">
      <c r="A136" s="109"/>
      <c r="B136" s="112"/>
      <c r="C136" s="112"/>
      <c r="D136" s="119"/>
      <c r="E136" s="119"/>
      <c r="F136" s="111"/>
      <c r="G136" s="112"/>
      <c r="H136" s="112"/>
      <c r="I136" s="112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7" ht="60" customHeight="1" x14ac:dyDescent="0.3">
      <c r="A137" s="109"/>
      <c r="B137" s="112"/>
      <c r="C137" s="112"/>
      <c r="D137" s="119"/>
      <c r="E137" s="119"/>
      <c r="F137" s="111"/>
      <c r="G137" s="112"/>
      <c r="H137" s="112"/>
      <c r="I137" s="112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7" ht="60" customHeight="1" x14ac:dyDescent="0.3">
      <c r="A138" s="109"/>
      <c r="B138" s="112"/>
      <c r="C138" s="112"/>
      <c r="D138" s="119"/>
      <c r="E138" s="119"/>
      <c r="F138" s="111"/>
      <c r="G138" s="112"/>
      <c r="H138" s="112"/>
      <c r="I138" s="112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7" ht="60" customHeight="1" x14ac:dyDescent="0.3">
      <c r="A139" s="109"/>
      <c r="B139" s="112"/>
      <c r="C139" s="112"/>
      <c r="D139" s="119"/>
      <c r="E139" s="119"/>
      <c r="F139" s="111"/>
      <c r="G139" s="112"/>
      <c r="H139" s="112"/>
      <c r="I139" s="112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7" ht="15.6" x14ac:dyDescent="0.3">
      <c r="A140" s="109"/>
      <c r="B140" s="112"/>
      <c r="C140" s="112"/>
      <c r="D140" s="119"/>
      <c r="E140" s="119"/>
      <c r="F140" s="111"/>
      <c r="G140" s="112"/>
      <c r="H140" s="112"/>
      <c r="I140" s="112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7" ht="15.6" x14ac:dyDescent="0.3">
      <c r="A141" s="109"/>
      <c r="B141" s="112"/>
      <c r="C141" s="112"/>
      <c r="D141" s="119"/>
      <c r="E141" s="119"/>
      <c r="F141" s="111"/>
      <c r="G141" s="112"/>
      <c r="H141" s="112"/>
      <c r="I141" s="112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7" ht="15.6" x14ac:dyDescent="0.3">
      <c r="A142" s="109"/>
      <c r="B142" s="112"/>
      <c r="C142" s="112"/>
      <c r="D142" s="119"/>
      <c r="E142" s="119"/>
      <c r="F142" s="111"/>
      <c r="G142" s="112"/>
      <c r="H142" s="112"/>
      <c r="I142" s="112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7" ht="15.6" x14ac:dyDescent="0.3">
      <c r="A143" s="109"/>
      <c r="B143" s="112"/>
      <c r="C143" s="112"/>
      <c r="D143" s="119"/>
      <c r="E143" s="119"/>
      <c r="F143" s="111"/>
      <c r="G143" s="112"/>
      <c r="H143" s="112"/>
      <c r="I143" s="112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7" ht="15.6" x14ac:dyDescent="0.3">
      <c r="A144" s="109"/>
      <c r="B144" s="112"/>
      <c r="C144" s="112"/>
      <c r="D144" s="119"/>
      <c r="E144" s="119"/>
      <c r="F144" s="111"/>
      <c r="G144" s="112"/>
      <c r="H144" s="112"/>
      <c r="I144" s="112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6" x14ac:dyDescent="0.3">
      <c r="A145" s="109"/>
      <c r="B145" s="112"/>
      <c r="C145" s="112"/>
      <c r="D145" s="119"/>
      <c r="E145" s="119"/>
      <c r="F145" s="111"/>
      <c r="G145" s="112"/>
      <c r="H145" s="112"/>
      <c r="I145" s="112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6" x14ac:dyDescent="0.3">
      <c r="A146" s="109"/>
      <c r="B146" s="112"/>
      <c r="C146" s="112"/>
      <c r="D146" s="119"/>
      <c r="E146" s="119"/>
      <c r="F146" s="111"/>
      <c r="G146" s="112"/>
      <c r="H146" s="112"/>
      <c r="I146" s="112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6" x14ac:dyDescent="0.3">
      <c r="A147" s="109"/>
      <c r="B147" s="112"/>
      <c r="C147" s="112"/>
      <c r="D147" s="119"/>
      <c r="E147" s="119"/>
      <c r="F147" s="111"/>
      <c r="G147" s="112"/>
      <c r="H147" s="112"/>
      <c r="I147" s="112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6" x14ac:dyDescent="0.3">
      <c r="A148" s="109"/>
      <c r="B148" s="112"/>
      <c r="C148" s="112"/>
      <c r="D148" s="119"/>
      <c r="E148" s="119"/>
      <c r="F148" s="111"/>
      <c r="G148" s="112"/>
      <c r="H148" s="112"/>
      <c r="I148" s="112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6" x14ac:dyDescent="0.3">
      <c r="A149" s="109"/>
      <c r="B149" s="112"/>
      <c r="C149" s="112"/>
      <c r="D149" s="119"/>
      <c r="E149" s="119"/>
      <c r="F149" s="111"/>
      <c r="G149" s="112"/>
      <c r="H149" s="112"/>
      <c r="I149" s="112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6" x14ac:dyDescent="0.3">
      <c r="A150" s="109"/>
      <c r="B150" s="112"/>
      <c r="C150" s="112"/>
      <c r="D150" s="119"/>
      <c r="E150" s="119"/>
      <c r="F150" s="111"/>
      <c r="G150" s="112"/>
      <c r="H150" s="112"/>
      <c r="I150" s="112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6" x14ac:dyDescent="0.3">
      <c r="A151" s="109"/>
      <c r="B151" s="112"/>
      <c r="C151" s="112"/>
      <c r="D151" s="119"/>
      <c r="E151" s="119"/>
      <c r="F151" s="111"/>
      <c r="G151" s="112"/>
      <c r="H151" s="112"/>
      <c r="I151" s="112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6" x14ac:dyDescent="0.3">
      <c r="A152" s="109"/>
      <c r="B152" s="112"/>
      <c r="C152" s="112"/>
      <c r="D152" s="119"/>
      <c r="E152" s="119"/>
      <c r="F152" s="111"/>
      <c r="G152" s="112"/>
      <c r="H152" s="112"/>
      <c r="I152" s="112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6" x14ac:dyDescent="0.3">
      <c r="A153" s="109"/>
      <c r="B153" s="112"/>
      <c r="C153" s="112"/>
      <c r="D153" s="119"/>
      <c r="E153" s="119"/>
      <c r="F153" s="111"/>
      <c r="G153" s="112"/>
      <c r="H153" s="112"/>
      <c r="I153" s="112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6" x14ac:dyDescent="0.3">
      <c r="A154" s="109"/>
      <c r="B154" s="112"/>
      <c r="C154" s="112"/>
      <c r="D154" s="119"/>
      <c r="E154" s="119"/>
      <c r="F154" s="111"/>
      <c r="G154" s="112"/>
      <c r="H154" s="112"/>
      <c r="I154" s="112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6" x14ac:dyDescent="0.3">
      <c r="A155" s="109"/>
      <c r="B155" s="112"/>
      <c r="C155" s="112"/>
      <c r="D155" s="119"/>
      <c r="E155" s="119"/>
      <c r="F155" s="111"/>
      <c r="G155" s="112"/>
      <c r="H155" s="112"/>
      <c r="I155" s="112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6" x14ac:dyDescent="0.3">
      <c r="A156" s="109"/>
      <c r="B156" s="112"/>
      <c r="C156" s="112"/>
      <c r="D156" s="119"/>
      <c r="E156" s="119"/>
      <c r="F156" s="111"/>
      <c r="G156" s="112"/>
      <c r="H156" s="112"/>
      <c r="I156" s="112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6" x14ac:dyDescent="0.3">
      <c r="A157" s="109"/>
      <c r="B157" s="112"/>
      <c r="C157" s="112"/>
      <c r="D157" s="119"/>
      <c r="E157" s="119"/>
      <c r="F157" s="111"/>
      <c r="G157" s="112"/>
      <c r="H157" s="112"/>
      <c r="I157" s="112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6" x14ac:dyDescent="0.3">
      <c r="A158" s="109"/>
      <c r="B158" s="112"/>
      <c r="C158" s="112"/>
      <c r="D158" s="119"/>
      <c r="E158" s="119"/>
      <c r="F158" s="111"/>
      <c r="G158" s="112"/>
      <c r="H158" s="112"/>
      <c r="I158" s="112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6" x14ac:dyDescent="0.3">
      <c r="A159" s="109"/>
      <c r="B159" s="112"/>
      <c r="C159" s="112"/>
      <c r="D159" s="119"/>
      <c r="E159" s="119"/>
      <c r="F159" s="111"/>
      <c r="G159" s="112"/>
      <c r="H159" s="112"/>
      <c r="I159" s="112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6" x14ac:dyDescent="0.3">
      <c r="A160" s="109"/>
      <c r="B160" s="112"/>
      <c r="C160" s="112"/>
      <c r="D160" s="119"/>
      <c r="E160" s="119"/>
      <c r="F160" s="111"/>
      <c r="G160" s="112"/>
      <c r="H160" s="112"/>
      <c r="I160" s="112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</sheetData>
  <protectedRanges>
    <protectedRange sqref="AA82:AA84 Z82 P72:P84 S82:Y84 M94:AA94 M97:P97 M98:N110 M111:O112 A129:AA160 A9:C9 F9 A121:B124 C121:C125 F121:H124 N122 M113:N116 M122:M123 P85:Q93 R93:AA93 Q50:Q84 O72:O93 S87:AA92 Q117:AA124 I118:L126 M121:N121 M124:N124 O121:P125 R36 R1:S33 AB1:AK46 Y1:AA37 M38:U40 U1:X36 T1:T34 M41:AA46 M47:N52 P54:P68 AB50:AC160 AD50 AD52:AD160 R50:AA81 I117 J114:L117 N24:P25 AK47:AK160 AE50:AJ160 O47:W48 N49:W49 X47:AJ49 M54:N96 O50:O68 M117:P119 G8:K9 A8:F8 Q6:Q36 O6:P23 A50:K50 J48:K49 L48:L50 H117:H120 A114:E120 F119:G120 F117 G117:G118 O95:AA116 O1:Q5 F115:I116 A113:F113 H113:L113 F114 H114:I114 G113:G114 A48:H49 A18:L47 M26:P35 M1:N25 A1:L7 A10:K17 L8:L17 A51:L112" name="Диапазон1" securityDescriptor="O:WDG:WDD:(A;;CC;;;S-1-5-21-1269620018-2266175787-4268506810-1000)(A;;CC;;;WD)"/>
  </protectedRanges>
  <mergeCells count="71">
    <mergeCell ref="A13:A16"/>
    <mergeCell ref="B13:B16"/>
    <mergeCell ref="A17:A20"/>
    <mergeCell ref="B9:B12"/>
    <mergeCell ref="F1:F2"/>
    <mergeCell ref="A7:A8"/>
    <mergeCell ref="B7:B8"/>
    <mergeCell ref="B17:B20"/>
    <mergeCell ref="G1:G2"/>
    <mergeCell ref="H1:H2"/>
    <mergeCell ref="I1:I2"/>
    <mergeCell ref="L1:L2"/>
    <mergeCell ref="A3:A6"/>
    <mergeCell ref="B3:B6"/>
    <mergeCell ref="J1:J2"/>
    <mergeCell ref="K1:K2"/>
    <mergeCell ref="B21:B23"/>
    <mergeCell ref="A45:A46"/>
    <mergeCell ref="B45:B46"/>
    <mergeCell ref="A26:A28"/>
    <mergeCell ref="B26:B28"/>
    <mergeCell ref="B24:B25"/>
    <mergeCell ref="D26:K26"/>
    <mergeCell ref="B29:B30"/>
    <mergeCell ref="B31:B32"/>
    <mergeCell ref="D34:K34"/>
    <mergeCell ref="B66:B68"/>
    <mergeCell ref="B35:B37"/>
    <mergeCell ref="D35:K35"/>
    <mergeCell ref="B38:B40"/>
    <mergeCell ref="B43:B44"/>
    <mergeCell ref="D43:H44"/>
    <mergeCell ref="B47:B49"/>
    <mergeCell ref="B50:B52"/>
    <mergeCell ref="B53:B56"/>
    <mergeCell ref="B57:B60"/>
    <mergeCell ref="B62:B65"/>
    <mergeCell ref="D33:K33"/>
    <mergeCell ref="B98:B100"/>
    <mergeCell ref="B69:B73"/>
    <mergeCell ref="A74:A77"/>
    <mergeCell ref="B74:B77"/>
    <mergeCell ref="D74:K74"/>
    <mergeCell ref="B82:B84"/>
    <mergeCell ref="B85:B86"/>
    <mergeCell ref="B87:B88"/>
    <mergeCell ref="B89:B90"/>
    <mergeCell ref="B91:B93"/>
    <mergeCell ref="B94:B95"/>
    <mergeCell ref="B96:B97"/>
    <mergeCell ref="D105:K105"/>
    <mergeCell ref="A107:A110"/>
    <mergeCell ref="B107:B110"/>
    <mergeCell ref="A111:A112"/>
    <mergeCell ref="B111:B112"/>
    <mergeCell ref="D111:K111"/>
    <mergeCell ref="A113:A116"/>
    <mergeCell ref="B113:B116"/>
    <mergeCell ref="B101:B102"/>
    <mergeCell ref="B103:B104"/>
    <mergeCell ref="B105:B106"/>
    <mergeCell ref="B121:B125"/>
    <mergeCell ref="A117:A120"/>
    <mergeCell ref="B117:B120"/>
    <mergeCell ref="P117:Q117"/>
    <mergeCell ref="P118:Q118"/>
    <mergeCell ref="D125:E125"/>
    <mergeCell ref="D122:E122"/>
    <mergeCell ref="D123:E123"/>
    <mergeCell ref="D124:E124"/>
    <mergeCell ref="D121:L12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"/>
  <sheetViews>
    <sheetView topLeftCell="A154" zoomScale="25" zoomScaleNormal="25" workbookViewId="0">
      <selection activeCell="F49" sqref="F49"/>
    </sheetView>
  </sheetViews>
  <sheetFormatPr defaultRowHeight="14.4" outlineLevelRow="1" outlineLevelCol="1" x14ac:dyDescent="0.3"/>
  <cols>
    <col min="1" max="1" width="10.5546875" bestFit="1" customWidth="1"/>
    <col min="2" max="2" width="39.109375" bestFit="1" customWidth="1"/>
    <col min="3" max="3" width="19.6640625" customWidth="1"/>
    <col min="4" max="4" width="19.88671875" customWidth="1"/>
    <col min="5" max="5" width="19.6640625" customWidth="1"/>
    <col min="6" max="6" width="16.5546875" customWidth="1" outlineLevel="1"/>
    <col min="7" max="7" width="17" customWidth="1"/>
    <col min="8" max="8" width="17.33203125" customWidth="1" outlineLevel="1"/>
    <col min="9" max="9" width="13.109375" customWidth="1" outlineLevel="1"/>
    <col min="10" max="10" width="19.88671875" customWidth="1" outlineLevel="1"/>
    <col min="11" max="11" width="13" customWidth="1" outlineLevel="1"/>
    <col min="12" max="12" width="21.44140625" customWidth="1" outlineLevel="1"/>
    <col min="13" max="13" width="21.33203125" customWidth="1" outlineLevel="1"/>
    <col min="14" max="14" width="31" customWidth="1" outlineLevel="1"/>
    <col min="15" max="15" width="41.5546875" customWidth="1" outlineLevel="1"/>
    <col min="16" max="16" width="27.88671875" customWidth="1" outlineLevel="1"/>
    <col min="17" max="17" width="22.5546875" customWidth="1" outlineLevel="1"/>
    <col min="18" max="18" width="22.6640625" customWidth="1" outlineLevel="1"/>
    <col min="19" max="20" width="20.6640625" customWidth="1" outlineLevel="1"/>
    <col min="21" max="21" width="25" customWidth="1" outlineLevel="1"/>
    <col min="22" max="22" width="27" customWidth="1" outlineLevel="1"/>
    <col min="23" max="23" width="22.33203125" customWidth="1" outlineLevel="1"/>
    <col min="24" max="24" width="18.33203125" customWidth="1" outlineLevel="1"/>
    <col min="25" max="25" width="30.6640625" customWidth="1" outlineLevel="1"/>
    <col min="26" max="26" width="31.6640625" customWidth="1" outlineLevel="1"/>
    <col min="27" max="27" width="17" customWidth="1" outlineLevel="1"/>
    <col min="28" max="34" width="9.109375" customWidth="1" outlineLevel="1"/>
  </cols>
  <sheetData>
    <row r="1" spans="1:24" ht="81" customHeight="1" thickBot="1" x14ac:dyDescent="0.35">
      <c r="A1" s="852" t="s">
        <v>0</v>
      </c>
      <c r="B1" s="872" t="s">
        <v>1</v>
      </c>
      <c r="C1" s="872" t="s">
        <v>2</v>
      </c>
      <c r="D1" s="872" t="s">
        <v>420</v>
      </c>
      <c r="E1" s="672" t="s">
        <v>479</v>
      </c>
      <c r="F1" s="874" t="s">
        <v>5</v>
      </c>
      <c r="G1" s="876" t="s">
        <v>6</v>
      </c>
      <c r="H1" s="878" t="s">
        <v>7</v>
      </c>
      <c r="I1" s="850" t="s">
        <v>8</v>
      </c>
      <c r="J1" s="850" t="s">
        <v>9</v>
      </c>
      <c r="K1" s="850" t="s">
        <v>10</v>
      </c>
      <c r="L1" s="846" t="s">
        <v>11</v>
      </c>
      <c r="N1" s="120"/>
      <c r="O1" s="121"/>
    </row>
    <row r="2" spans="1:24" ht="69" customHeight="1" thickBot="1" x14ac:dyDescent="0.35">
      <c r="A2" s="853"/>
      <c r="B2" s="873"/>
      <c r="C2" s="873"/>
      <c r="D2" s="873"/>
      <c r="E2" s="613"/>
      <c r="F2" s="875"/>
      <c r="G2" s="877"/>
      <c r="H2" s="879"/>
      <c r="I2" s="851"/>
      <c r="J2" s="851"/>
      <c r="K2" s="851"/>
      <c r="L2" s="847"/>
      <c r="M2" s="298" t="s">
        <v>14</v>
      </c>
      <c r="N2" s="300" t="s">
        <v>130</v>
      </c>
      <c r="O2" s="300" t="s">
        <v>131</v>
      </c>
      <c r="P2" s="300" t="s">
        <v>132</v>
      </c>
      <c r="Q2" s="693" t="s">
        <v>133</v>
      </c>
      <c r="R2" s="300" t="s">
        <v>134</v>
      </c>
      <c r="S2" s="317"/>
      <c r="T2" s="317"/>
      <c r="U2" s="317"/>
      <c r="V2" s="317"/>
      <c r="W2" s="317"/>
      <c r="X2" s="317"/>
    </row>
    <row r="3" spans="1:24" ht="34.5" customHeight="1" x14ac:dyDescent="0.3">
      <c r="A3" s="896">
        <v>1</v>
      </c>
      <c r="B3" s="812" t="s">
        <v>135</v>
      </c>
      <c r="C3" s="122" t="s">
        <v>13</v>
      </c>
      <c r="D3" s="123">
        <f>D7+D11+D14+D18+D20+D22</f>
        <v>28620.099150000002</v>
      </c>
      <c r="E3" s="468">
        <f>E7+E11+E14+E18+E20+E22</f>
        <v>28595.294320000001</v>
      </c>
      <c r="F3" s="124">
        <f>E3/D3*100%</f>
        <v>0.99913330733517036</v>
      </c>
      <c r="G3" s="124">
        <v>100</v>
      </c>
      <c r="H3" s="205">
        <f>(H7*E7+H11*E11+H14*E14+H18*E18+E22*H22+E20*H20)/E3</f>
        <v>29.999999999999996</v>
      </c>
      <c r="I3" s="142">
        <f t="shared" ref="I3" si="0">IF(G3=100,25,IF((G3&gt;90)*(G3&lt;100),0,IF((G3&gt;70)*(G3&lt;90),-10,-25)))</f>
        <v>25</v>
      </c>
      <c r="J3" s="143">
        <f t="shared" ref="J3" si="1">IF((F3&gt;0)*(F3&lt;5),20,0)</f>
        <v>20</v>
      </c>
      <c r="K3" s="143">
        <f t="shared" ref="K3" si="2">IF(L3=1,60,10)</f>
        <v>10</v>
      </c>
      <c r="L3" s="126">
        <f>IF(SUM(N3:R3)=SUM(N4:R4),1,2)</f>
        <v>2</v>
      </c>
      <c r="M3" s="320" t="s">
        <v>19</v>
      </c>
      <c r="N3" s="527">
        <v>9</v>
      </c>
      <c r="O3" s="463">
        <v>5</v>
      </c>
      <c r="P3" s="528">
        <v>50.4</v>
      </c>
      <c r="Q3" s="528">
        <v>21</v>
      </c>
      <c r="R3" s="528">
        <v>130</v>
      </c>
      <c r="S3" s="317"/>
      <c r="T3" s="317"/>
      <c r="U3" s="317"/>
      <c r="V3" s="317"/>
      <c r="W3" s="317"/>
      <c r="X3" s="317"/>
    </row>
    <row r="4" spans="1:24" ht="32.25" customHeight="1" thickBot="1" x14ac:dyDescent="0.35">
      <c r="A4" s="58"/>
      <c r="B4" s="818"/>
      <c r="C4" s="127" t="s">
        <v>18</v>
      </c>
      <c r="D4" s="128">
        <f>D8+D12+D15+D19+D21+D23</f>
        <v>16671.23515</v>
      </c>
      <c r="E4" s="626">
        <f>E8+E12+E15+E19+E21+E23</f>
        <v>16646.430319999999</v>
      </c>
      <c r="F4" s="129"/>
      <c r="G4" s="129"/>
      <c r="H4" s="130"/>
      <c r="I4" s="142"/>
      <c r="J4" s="143"/>
      <c r="K4" s="143"/>
      <c r="L4" s="132"/>
      <c r="M4" s="321" t="s">
        <v>21</v>
      </c>
      <c r="N4" s="323">
        <v>9</v>
      </c>
      <c r="O4" s="324">
        <v>5</v>
      </c>
      <c r="P4" s="528">
        <v>50.4</v>
      </c>
      <c r="Q4" s="725">
        <v>18</v>
      </c>
      <c r="R4" s="529">
        <v>130</v>
      </c>
      <c r="S4" s="317"/>
      <c r="T4" s="317"/>
      <c r="U4" s="317"/>
      <c r="V4" s="317"/>
      <c r="W4" s="317"/>
      <c r="X4" s="317"/>
    </row>
    <row r="5" spans="1:24" ht="31.2" x14ac:dyDescent="0.3">
      <c r="A5" s="897"/>
      <c r="B5" s="818"/>
      <c r="C5" s="127" t="s">
        <v>20</v>
      </c>
      <c r="D5" s="127">
        <f>D9+D13+D16</f>
        <v>11948.864</v>
      </c>
      <c r="E5" s="471">
        <f>E9+E13+E16</f>
        <v>11948.864</v>
      </c>
      <c r="F5" s="129"/>
      <c r="G5" s="129"/>
      <c r="H5" s="130"/>
      <c r="I5" s="142"/>
      <c r="J5" s="143"/>
      <c r="K5" s="143"/>
      <c r="L5" s="132"/>
      <c r="M5" s="322"/>
      <c r="N5" s="323"/>
      <c r="O5" s="324"/>
      <c r="P5" s="325"/>
      <c r="Q5" s="325"/>
      <c r="R5" s="325"/>
      <c r="S5" s="317"/>
      <c r="T5" s="317"/>
      <c r="U5" s="317"/>
      <c r="V5" s="317"/>
      <c r="W5" s="317"/>
      <c r="X5" s="317"/>
    </row>
    <row r="6" spans="1:24" ht="82.5" customHeight="1" thickBot="1" x14ac:dyDescent="0.35">
      <c r="A6" s="479"/>
      <c r="B6" s="813"/>
      <c r="C6" s="133" t="s">
        <v>31</v>
      </c>
      <c r="D6" s="242">
        <f>D10+D17</f>
        <v>0</v>
      </c>
      <c r="E6" s="242">
        <f>E10+E17</f>
        <v>0</v>
      </c>
      <c r="F6" s="134"/>
      <c r="G6" s="134"/>
      <c r="H6" s="135"/>
      <c r="I6" s="142"/>
      <c r="J6" s="143"/>
      <c r="K6" s="143"/>
      <c r="L6" s="137"/>
      <c r="M6" s="302" t="s">
        <v>14</v>
      </c>
      <c r="N6" s="303" t="s">
        <v>130</v>
      </c>
      <c r="O6" s="304" t="s">
        <v>131</v>
      </c>
      <c r="P6" s="304" t="s">
        <v>132</v>
      </c>
      <c r="Q6" s="304" t="s">
        <v>133</v>
      </c>
      <c r="R6" s="304" t="s">
        <v>134</v>
      </c>
      <c r="S6" s="317"/>
      <c r="T6" s="317"/>
      <c r="U6" s="317"/>
      <c r="V6" s="317"/>
      <c r="W6" s="317"/>
      <c r="X6" s="317"/>
    </row>
    <row r="7" spans="1:24" ht="45" customHeight="1" x14ac:dyDescent="0.3">
      <c r="A7" s="898" t="s">
        <v>23</v>
      </c>
      <c r="B7" s="828" t="s">
        <v>136</v>
      </c>
      <c r="C7" s="138" t="s">
        <v>13</v>
      </c>
      <c r="D7" s="138">
        <f>D8+D9+D10</f>
        <v>15624.274509999999</v>
      </c>
      <c r="E7" s="138">
        <f>E8+E9+E10</f>
        <v>15624.274509999999</v>
      </c>
      <c r="F7" s="139">
        <f t="shared" ref="F7:F70" si="3">E7/D7*100%</f>
        <v>1</v>
      </c>
      <c r="G7" s="140">
        <f>E7/D7*100</f>
        <v>100</v>
      </c>
      <c r="H7" s="141">
        <f>J7+K7</f>
        <v>30</v>
      </c>
      <c r="I7" s="142">
        <f>IF(G7=100,25,IF((G7&gt;90)*(G7&lt;100),0,IF((G7&gt;70)*(G7&lt;90),-10,-25)))</f>
        <v>25</v>
      </c>
      <c r="J7" s="143">
        <f>IF((F7&gt;0)*(F7&lt;5),20,0)</f>
        <v>20</v>
      </c>
      <c r="K7" s="143">
        <f>IF(L7=1,60,10)</f>
        <v>10</v>
      </c>
      <c r="L7" s="144">
        <f>IF(SUM(N7:R7)=SUM(N8:R8),1,2)</f>
        <v>2</v>
      </c>
      <c r="M7" s="290" t="s">
        <v>19</v>
      </c>
      <c r="N7" s="530">
        <v>9</v>
      </c>
      <c r="O7" s="531">
        <v>5</v>
      </c>
      <c r="P7" s="531">
        <v>50.4</v>
      </c>
      <c r="Q7" s="531">
        <v>21</v>
      </c>
      <c r="R7" s="532">
        <v>130</v>
      </c>
      <c r="S7" s="317"/>
      <c r="T7" s="317"/>
      <c r="U7" s="317"/>
      <c r="V7" s="317"/>
      <c r="W7" s="317"/>
      <c r="X7" s="317"/>
    </row>
    <row r="8" spans="1:24" ht="34.200000000000003" thickBot="1" x14ac:dyDescent="0.35">
      <c r="A8" s="899"/>
      <c r="B8" s="829"/>
      <c r="C8" s="145" t="s">
        <v>25</v>
      </c>
      <c r="D8" s="145">
        <v>5777.4965099999999</v>
      </c>
      <c r="E8" s="700">
        <v>5777.4965099999999</v>
      </c>
      <c r="F8" s="129"/>
      <c r="G8" s="146"/>
      <c r="H8" s="147"/>
      <c r="I8" s="131"/>
      <c r="J8" s="148"/>
      <c r="K8" s="148"/>
      <c r="L8" s="132"/>
      <c r="M8" s="291" t="s">
        <v>21</v>
      </c>
      <c r="N8" s="533">
        <v>9</v>
      </c>
      <c r="O8" s="534">
        <v>5</v>
      </c>
      <c r="P8" s="534">
        <v>50.4</v>
      </c>
      <c r="Q8" s="725">
        <v>18</v>
      </c>
      <c r="R8" s="535">
        <v>130</v>
      </c>
      <c r="S8" s="317"/>
      <c r="T8" s="317"/>
      <c r="U8" s="317"/>
      <c r="V8" s="317"/>
      <c r="W8" s="317"/>
      <c r="X8" s="317"/>
    </row>
    <row r="9" spans="1:24" ht="34.200000000000003" thickBot="1" x14ac:dyDescent="0.35">
      <c r="A9" s="899"/>
      <c r="B9" s="829"/>
      <c r="C9" s="145" t="s">
        <v>20</v>
      </c>
      <c r="D9" s="145">
        <v>9846.7780000000002</v>
      </c>
      <c r="E9" s="700">
        <v>9846.7780000000002</v>
      </c>
      <c r="F9" s="129"/>
      <c r="G9" s="146"/>
      <c r="H9" s="147"/>
      <c r="I9" s="131"/>
      <c r="J9" s="148"/>
      <c r="K9" s="148"/>
      <c r="L9" s="132"/>
      <c r="M9" s="292"/>
      <c r="N9" s="293"/>
      <c r="O9" s="292"/>
      <c r="P9" s="292"/>
      <c r="Q9" s="292"/>
      <c r="R9" s="294"/>
      <c r="S9" s="317"/>
      <c r="T9" s="317"/>
      <c r="U9" s="317"/>
      <c r="V9" s="317"/>
      <c r="W9" s="317"/>
      <c r="X9" s="317"/>
    </row>
    <row r="10" spans="1:24" ht="109.95" customHeight="1" thickBot="1" x14ac:dyDescent="0.35">
      <c r="A10" s="900"/>
      <c r="B10" s="829"/>
      <c r="C10" s="240" t="s">
        <v>31</v>
      </c>
      <c r="D10" s="145">
        <v>0</v>
      </c>
      <c r="E10" s="145">
        <v>0</v>
      </c>
      <c r="F10" s="129"/>
      <c r="G10" s="146"/>
      <c r="H10" s="147"/>
      <c r="I10" s="131"/>
      <c r="J10" s="148"/>
      <c r="K10" s="148"/>
      <c r="L10" s="132"/>
      <c r="M10" s="299" t="s">
        <v>14</v>
      </c>
      <c r="N10" s="300" t="s">
        <v>130</v>
      </c>
      <c r="O10" s="299" t="s">
        <v>131</v>
      </c>
      <c r="P10" s="299" t="s">
        <v>132</v>
      </c>
      <c r="Q10" s="299" t="s">
        <v>133</v>
      </c>
      <c r="R10" s="301" t="s">
        <v>134</v>
      </c>
      <c r="S10" s="326"/>
      <c r="T10" s="326"/>
      <c r="U10" s="317"/>
      <c r="V10" s="317"/>
      <c r="W10" s="317"/>
      <c r="X10" s="317"/>
    </row>
    <row r="11" spans="1:24" ht="36.75" customHeight="1" x14ac:dyDescent="0.3">
      <c r="A11" s="901" t="s">
        <v>26</v>
      </c>
      <c r="B11" s="829" t="s">
        <v>137</v>
      </c>
      <c r="C11" s="145" t="s">
        <v>13</v>
      </c>
      <c r="D11" s="145">
        <f>D12+D13</f>
        <v>3134.8969999999999</v>
      </c>
      <c r="E11" s="145">
        <f>E12+E13</f>
        <v>3134.8969999999999</v>
      </c>
      <c r="F11" s="129">
        <f t="shared" si="3"/>
        <v>1</v>
      </c>
      <c r="G11" s="146">
        <f>E11/D11*100</f>
        <v>100</v>
      </c>
      <c r="H11" s="147">
        <f>J11+K11</f>
        <v>30</v>
      </c>
      <c r="I11" s="131">
        <f>IF(G11=100,25,IF((G11&gt;90)*(G11&lt;100),0,IF((G11&gt;70)*(G11&lt;90),-10,-25)))</f>
        <v>25</v>
      </c>
      <c r="J11" s="148">
        <f>IF((F11&gt;0)*(F11&lt;5),20,0)</f>
        <v>20</v>
      </c>
      <c r="K11" s="148">
        <f>IF(L11=1,60,10)</f>
        <v>10</v>
      </c>
      <c r="L11" s="132">
        <f>IF(SUM(N11:R11)=SUM(N12:R12),1,2)</f>
        <v>2</v>
      </c>
      <c r="M11" s="290" t="s">
        <v>19</v>
      </c>
      <c r="N11" s="530">
        <v>9</v>
      </c>
      <c r="O11" s="531">
        <v>5</v>
      </c>
      <c r="P11" s="531">
        <v>50.4</v>
      </c>
      <c r="Q11" s="531">
        <v>21</v>
      </c>
      <c r="R11" s="324">
        <v>130</v>
      </c>
      <c r="S11" s="326"/>
      <c r="T11" s="326"/>
      <c r="U11" s="317"/>
      <c r="V11" s="317"/>
      <c r="W11" s="317"/>
      <c r="X11" s="317"/>
    </row>
    <row r="12" spans="1:24" ht="34.200000000000003" thickBot="1" x14ac:dyDescent="0.35">
      <c r="A12" s="899"/>
      <c r="B12" s="829"/>
      <c r="C12" s="145" t="s">
        <v>25</v>
      </c>
      <c r="D12" s="150">
        <v>2011.05</v>
      </c>
      <c r="E12" s="150">
        <v>2011.05</v>
      </c>
      <c r="F12" s="129"/>
      <c r="G12" s="146"/>
      <c r="H12" s="147"/>
      <c r="I12" s="131"/>
      <c r="J12" s="148"/>
      <c r="K12" s="148"/>
      <c r="L12" s="132"/>
      <c r="M12" s="297" t="s">
        <v>21</v>
      </c>
      <c r="N12" s="536">
        <v>9</v>
      </c>
      <c r="O12" s="537">
        <v>5</v>
      </c>
      <c r="P12" s="537">
        <v>50.4</v>
      </c>
      <c r="Q12" s="725">
        <v>18</v>
      </c>
      <c r="R12" s="324">
        <v>130</v>
      </c>
      <c r="S12" s="326"/>
      <c r="T12" s="326"/>
      <c r="U12" s="317"/>
      <c r="V12" s="317"/>
      <c r="W12" s="317"/>
      <c r="X12" s="317"/>
    </row>
    <row r="13" spans="1:24" ht="79.8" thickBot="1" x14ac:dyDescent="0.35">
      <c r="A13" s="900"/>
      <c r="B13" s="829"/>
      <c r="C13" s="145" t="s">
        <v>20</v>
      </c>
      <c r="D13" s="150">
        <v>1123.847</v>
      </c>
      <c r="E13" s="150">
        <v>1123.847</v>
      </c>
      <c r="F13" s="129"/>
      <c r="G13" s="146"/>
      <c r="H13" s="147"/>
      <c r="I13" s="131"/>
      <c r="J13" s="148"/>
      <c r="K13" s="148"/>
      <c r="L13" s="180"/>
      <c r="M13" s="299" t="s">
        <v>14</v>
      </c>
      <c r="N13" s="300" t="s">
        <v>130</v>
      </c>
      <c r="O13" s="299" t="s">
        <v>131</v>
      </c>
      <c r="P13" s="299" t="s">
        <v>132</v>
      </c>
      <c r="Q13" s="305" t="s">
        <v>133</v>
      </c>
      <c r="R13" s="306" t="s">
        <v>134</v>
      </c>
      <c r="S13" s="326"/>
      <c r="T13" s="326"/>
      <c r="U13" s="317"/>
      <c r="V13" s="317"/>
      <c r="W13" s="317"/>
      <c r="X13" s="317"/>
    </row>
    <row r="14" spans="1:24" ht="33.75" customHeight="1" x14ac:dyDescent="0.3">
      <c r="A14" s="901" t="s">
        <v>29</v>
      </c>
      <c r="B14" s="830" t="s">
        <v>138</v>
      </c>
      <c r="C14" s="145" t="s">
        <v>13</v>
      </c>
      <c r="D14" s="585">
        <f>D15+D16+D17</f>
        <v>3784.6542399999998</v>
      </c>
      <c r="E14" s="624">
        <f>E15+E16+E17</f>
        <v>3768.4969900000001</v>
      </c>
      <c r="F14" s="129">
        <f t="shared" si="3"/>
        <v>0.99573085175675125</v>
      </c>
      <c r="G14" s="146">
        <v>100</v>
      </c>
      <c r="H14" s="147">
        <f>J14+K14</f>
        <v>30</v>
      </c>
      <c r="I14" s="131">
        <f>IF(G14=100,25,IF((G14&gt;90)*(G14&lt;100),0,IF((G14&gt;70)*(G14&lt;90),-10,-25)))</f>
        <v>25</v>
      </c>
      <c r="J14" s="148">
        <f>IF((F14&gt;0)*(F14&lt;5),20,0)</f>
        <v>20</v>
      </c>
      <c r="K14" s="148">
        <f>IF(L14=1,60,10)</f>
        <v>10</v>
      </c>
      <c r="L14" s="132">
        <f>IF(SUM(N14:R14)=SUM(N15:R15),1,2)</f>
        <v>2</v>
      </c>
      <c r="M14" s="296" t="s">
        <v>19</v>
      </c>
      <c r="N14" s="527">
        <v>9</v>
      </c>
      <c r="O14" s="463">
        <v>5</v>
      </c>
      <c r="P14" s="463">
        <v>50.4</v>
      </c>
      <c r="Q14" s="463">
        <v>21</v>
      </c>
      <c r="R14" s="538">
        <v>130</v>
      </c>
      <c r="S14" s="317"/>
      <c r="T14" s="317"/>
      <c r="U14" s="317"/>
      <c r="V14" s="317"/>
      <c r="W14" s="317"/>
      <c r="X14" s="317"/>
    </row>
    <row r="15" spans="1:24" ht="27" customHeight="1" thickBot="1" x14ac:dyDescent="0.35">
      <c r="A15" s="899"/>
      <c r="B15" s="849"/>
      <c r="C15" s="145" t="s">
        <v>25</v>
      </c>
      <c r="D15" s="584">
        <v>2806.4152399999998</v>
      </c>
      <c r="E15" s="584">
        <v>2790.2579900000001</v>
      </c>
      <c r="F15" s="129"/>
      <c r="G15" s="146"/>
      <c r="H15" s="147"/>
      <c r="I15" s="131"/>
      <c r="J15" s="148"/>
      <c r="K15" s="148"/>
      <c r="L15" s="132"/>
      <c r="M15" s="291" t="s">
        <v>21</v>
      </c>
      <c r="N15" s="533">
        <v>9</v>
      </c>
      <c r="O15" s="534">
        <v>5</v>
      </c>
      <c r="P15" s="534">
        <v>50.4</v>
      </c>
      <c r="Q15" s="725">
        <v>18</v>
      </c>
      <c r="R15" s="535">
        <v>130</v>
      </c>
      <c r="S15" s="317"/>
      <c r="T15" s="317"/>
      <c r="U15" s="317"/>
      <c r="V15" s="317"/>
      <c r="W15" s="317"/>
      <c r="X15" s="317"/>
    </row>
    <row r="16" spans="1:24" ht="30.75" customHeight="1" thickBot="1" x14ac:dyDescent="0.35">
      <c r="A16" s="899"/>
      <c r="B16" s="849"/>
      <c r="C16" s="145" t="s">
        <v>20</v>
      </c>
      <c r="D16" s="149">
        <v>978.23900000000003</v>
      </c>
      <c r="E16" s="149">
        <v>978.23900000000003</v>
      </c>
      <c r="F16" s="129"/>
      <c r="G16" s="146"/>
      <c r="H16" s="147"/>
      <c r="I16" s="131"/>
      <c r="J16" s="148"/>
      <c r="K16" s="148"/>
      <c r="L16" s="132"/>
      <c r="M16" s="294"/>
      <c r="N16" s="295"/>
      <c r="O16" s="294"/>
      <c r="P16" s="294"/>
      <c r="Q16" s="294"/>
      <c r="R16" s="294"/>
      <c r="S16" s="317"/>
      <c r="T16" s="317"/>
      <c r="U16" s="317"/>
      <c r="V16" s="317"/>
      <c r="W16" s="317"/>
      <c r="X16" s="317"/>
    </row>
    <row r="17" spans="1:26" ht="85.95" customHeight="1" thickBot="1" x14ac:dyDescent="0.35">
      <c r="A17" s="899"/>
      <c r="B17" s="849"/>
      <c r="C17" s="145" t="s">
        <v>139</v>
      </c>
      <c r="D17" s="241">
        <v>0</v>
      </c>
      <c r="E17" s="241">
        <v>0</v>
      </c>
      <c r="F17" s="129"/>
      <c r="G17" s="146"/>
      <c r="H17" s="147"/>
      <c r="I17" s="131"/>
      <c r="J17" s="148"/>
      <c r="K17" s="148"/>
      <c r="L17" s="180"/>
      <c r="M17" s="299" t="s">
        <v>14</v>
      </c>
      <c r="N17" s="461" t="s">
        <v>130</v>
      </c>
      <c r="O17" s="299" t="s">
        <v>131</v>
      </c>
      <c r="P17" s="299" t="s">
        <v>132</v>
      </c>
      <c r="Q17" s="299" t="s">
        <v>133</v>
      </c>
      <c r="R17" s="299" t="s">
        <v>134</v>
      </c>
      <c r="S17" s="317"/>
      <c r="T17" s="317"/>
      <c r="U17" s="317"/>
      <c r="V17" s="317"/>
      <c r="W17" s="317"/>
      <c r="X17" s="317"/>
    </row>
    <row r="18" spans="1:26" ht="32.25" customHeight="1" x14ac:dyDescent="0.3">
      <c r="A18" s="901" t="s">
        <v>32</v>
      </c>
      <c r="B18" s="830" t="s">
        <v>140</v>
      </c>
      <c r="C18" s="145" t="s">
        <v>13</v>
      </c>
      <c r="D18" s="145">
        <f>D19</f>
        <v>374.71699999999998</v>
      </c>
      <c r="E18" s="145">
        <f>E19</f>
        <v>374.71699999999998</v>
      </c>
      <c r="F18" s="129">
        <f t="shared" si="3"/>
        <v>1</v>
      </c>
      <c r="G18" s="146">
        <f>E18/D18*100</f>
        <v>100</v>
      </c>
      <c r="H18" s="147">
        <f>J18+K18</f>
        <v>30</v>
      </c>
      <c r="I18" s="131">
        <f>IF(G18=100,25,IF((G18&gt;90)*(G18&lt;100),0,IF((G18&gt;70)*(G18&lt;90),-10,-25)))</f>
        <v>25</v>
      </c>
      <c r="J18" s="148">
        <f>IF((F18&gt;0)*(F18&lt;5),20,0)</f>
        <v>20</v>
      </c>
      <c r="K18" s="148">
        <f>IF(L18=1,60,10)</f>
        <v>10</v>
      </c>
      <c r="L18" s="132">
        <f>IF(SUM(N18:R18)=SUM(N19:R19),1,2)</f>
        <v>2</v>
      </c>
      <c r="M18" s="296" t="s">
        <v>19</v>
      </c>
      <c r="N18" s="527">
        <v>9</v>
      </c>
      <c r="O18" s="463">
        <v>5</v>
      </c>
      <c r="P18" s="463">
        <v>50.4</v>
      </c>
      <c r="Q18" s="463">
        <v>21</v>
      </c>
      <c r="R18" s="538">
        <v>130</v>
      </c>
      <c r="S18" s="317"/>
      <c r="T18" s="317"/>
      <c r="U18" s="317"/>
      <c r="V18" s="317"/>
      <c r="W18" s="317"/>
      <c r="X18" s="317"/>
    </row>
    <row r="19" spans="1:26" ht="34.200000000000003" thickBot="1" x14ac:dyDescent="0.35">
      <c r="A19" s="900"/>
      <c r="B19" s="849"/>
      <c r="C19" s="145" t="s">
        <v>25</v>
      </c>
      <c r="D19" s="583">
        <v>374.71699999999998</v>
      </c>
      <c r="E19" s="572">
        <v>374.71699999999998</v>
      </c>
      <c r="F19" s="129"/>
      <c r="G19" s="146"/>
      <c r="H19" s="147"/>
      <c r="I19" s="131"/>
      <c r="J19" s="148"/>
      <c r="K19" s="148"/>
      <c r="L19" s="132"/>
      <c r="M19" s="291" t="s">
        <v>21</v>
      </c>
      <c r="N19" s="533">
        <v>9</v>
      </c>
      <c r="O19" s="534">
        <v>5</v>
      </c>
      <c r="P19" s="534">
        <v>50.4</v>
      </c>
      <c r="Q19" s="725">
        <v>18</v>
      </c>
      <c r="R19" s="535">
        <v>130</v>
      </c>
      <c r="S19" s="317"/>
      <c r="T19" s="317"/>
      <c r="U19" s="317"/>
      <c r="V19" s="317"/>
      <c r="W19" s="317"/>
      <c r="X19" s="317"/>
    </row>
    <row r="20" spans="1:26" ht="33" customHeight="1" thickBot="1" x14ac:dyDescent="0.35">
      <c r="A20" s="902"/>
      <c r="B20" s="830"/>
      <c r="C20" s="145"/>
      <c r="D20" s="151"/>
      <c r="E20" s="151"/>
      <c r="F20" s="129"/>
      <c r="G20" s="146"/>
      <c r="H20" s="147"/>
      <c r="I20" s="131"/>
      <c r="J20" s="156"/>
      <c r="K20" s="148"/>
      <c r="L20" s="180"/>
      <c r="M20" s="462"/>
      <c r="N20" s="369"/>
      <c r="O20" s="357"/>
      <c r="P20" s="357"/>
      <c r="Q20" s="357"/>
      <c r="R20" s="357"/>
      <c r="S20" s="317"/>
      <c r="T20" s="317"/>
      <c r="U20" s="317"/>
      <c r="V20" s="317"/>
      <c r="W20" s="317"/>
      <c r="X20" s="317"/>
    </row>
    <row r="21" spans="1:26" ht="79.8" thickBot="1" x14ac:dyDescent="0.35">
      <c r="A21" s="903"/>
      <c r="B21" s="828"/>
      <c r="C21" s="145"/>
      <c r="D21" s="151"/>
      <c r="E21" s="151"/>
      <c r="F21" s="129"/>
      <c r="G21" s="146"/>
      <c r="H21" s="147"/>
      <c r="I21" s="131"/>
      <c r="J21" s="156"/>
      <c r="K21" s="148"/>
      <c r="L21" s="180"/>
      <c r="M21" s="299" t="s">
        <v>14</v>
      </c>
      <c r="N21" s="461" t="s">
        <v>130</v>
      </c>
      <c r="O21" s="299" t="s">
        <v>131</v>
      </c>
      <c r="P21" s="299" t="s">
        <v>132</v>
      </c>
      <c r="Q21" s="299" t="s">
        <v>133</v>
      </c>
      <c r="R21" s="299" t="s">
        <v>134</v>
      </c>
      <c r="S21" s="317"/>
      <c r="T21" s="317"/>
      <c r="U21" s="317"/>
      <c r="V21" s="317"/>
      <c r="W21" s="317"/>
      <c r="X21" s="317"/>
    </row>
    <row r="22" spans="1:26" ht="16.8" x14ac:dyDescent="0.3">
      <c r="A22" s="904" t="s">
        <v>409</v>
      </c>
      <c r="B22" s="830" t="s">
        <v>141</v>
      </c>
      <c r="C22" s="145" t="s">
        <v>13</v>
      </c>
      <c r="D22" s="610">
        <f>D23</f>
        <v>5701.5564000000004</v>
      </c>
      <c r="E22" s="623">
        <f>E23</f>
        <v>5692.9088199999997</v>
      </c>
      <c r="F22" s="129">
        <f t="shared" si="3"/>
        <v>0.99848329484208898</v>
      </c>
      <c r="G22" s="146">
        <v>100</v>
      </c>
      <c r="H22" s="147">
        <f t="shared" ref="H22" si="4">J22+K22</f>
        <v>30</v>
      </c>
      <c r="I22" s="131">
        <f>IF(G22=100,25,IF((G22&gt;90)*(G22&lt;100),0,IF((G22&gt;70)*(G22&lt;90),-10,-25)))</f>
        <v>25</v>
      </c>
      <c r="J22" s="156">
        <f>IF((F22&gt;0)*(F22&lt;5),20,0)</f>
        <v>20</v>
      </c>
      <c r="K22" s="148">
        <f t="shared" ref="K22" si="5">IF(L22=1,60,10)</f>
        <v>10</v>
      </c>
      <c r="L22" s="132">
        <f>IF(SUM(N22:R22)=SUM(N23:R23),1,2)</f>
        <v>2</v>
      </c>
      <c r="M22" s="290" t="s">
        <v>19</v>
      </c>
      <c r="N22" s="530">
        <v>9</v>
      </c>
      <c r="O22" s="531">
        <v>5</v>
      </c>
      <c r="P22" s="531">
        <v>50.4</v>
      </c>
      <c r="Q22" s="531">
        <v>21</v>
      </c>
      <c r="R22" s="532">
        <v>130</v>
      </c>
      <c r="S22" s="317"/>
      <c r="T22" s="317"/>
      <c r="U22" s="317"/>
      <c r="V22" s="317"/>
      <c r="W22" s="317"/>
      <c r="X22" s="317"/>
    </row>
    <row r="23" spans="1:26" ht="67.95" customHeight="1" thickBot="1" x14ac:dyDescent="0.35">
      <c r="A23" s="905"/>
      <c r="B23" s="849"/>
      <c r="C23" s="702" t="s">
        <v>25</v>
      </c>
      <c r="D23" s="610">
        <v>5701.5564000000004</v>
      </c>
      <c r="E23" s="623">
        <v>5692.9088199999997</v>
      </c>
      <c r="F23" s="152"/>
      <c r="G23" s="153"/>
      <c r="H23" s="154"/>
      <c r="I23" s="155"/>
      <c r="J23" s="156"/>
      <c r="K23" s="156"/>
      <c r="L23" s="157"/>
      <c r="M23" s="291" t="s">
        <v>21</v>
      </c>
      <c r="N23" s="533">
        <v>9</v>
      </c>
      <c r="O23" s="534">
        <v>5</v>
      </c>
      <c r="P23" s="534">
        <v>50.4</v>
      </c>
      <c r="Q23" s="725">
        <v>18</v>
      </c>
      <c r="R23" s="535">
        <v>130</v>
      </c>
      <c r="S23" s="317"/>
      <c r="T23" s="317"/>
      <c r="U23" s="317"/>
      <c r="V23" s="317"/>
      <c r="W23" s="317"/>
      <c r="X23" s="317"/>
    </row>
    <row r="24" spans="1:26" ht="127.5" customHeight="1" thickBot="1" x14ac:dyDescent="0.35">
      <c r="A24" s="906">
        <v>2</v>
      </c>
      <c r="B24" s="869" t="s">
        <v>142</v>
      </c>
      <c r="C24" s="704" t="s">
        <v>13</v>
      </c>
      <c r="D24" s="468">
        <f>D30+D32+D35+D37</f>
        <v>5170.8451799999993</v>
      </c>
      <c r="E24" s="468">
        <f>E30+E32+E35+E37</f>
        <v>5170.8451799999993</v>
      </c>
      <c r="F24" s="124">
        <f t="shared" si="3"/>
        <v>1</v>
      </c>
      <c r="G24" s="124">
        <f>E24/D24*100</f>
        <v>100</v>
      </c>
      <c r="H24" s="451">
        <f>(H30*E30+H32*E32+H35*E35+H37*E37)/E24</f>
        <v>34.95404263873165</v>
      </c>
      <c r="I24" s="125"/>
      <c r="J24" s="125"/>
      <c r="K24" s="125"/>
      <c r="L24" s="126">
        <f>IF(SUM(M25:Y25)=SUM(M26:Y26),1,2)</f>
        <v>2</v>
      </c>
      <c r="M24" s="298" t="s">
        <v>14</v>
      </c>
      <c r="N24" s="300" t="s">
        <v>143</v>
      </c>
      <c r="O24" s="299" t="s">
        <v>144</v>
      </c>
      <c r="P24" s="299" t="s">
        <v>145</v>
      </c>
      <c r="Q24" s="299" t="s">
        <v>146</v>
      </c>
      <c r="R24" s="299" t="s">
        <v>147</v>
      </c>
      <c r="S24" s="299" t="s">
        <v>148</v>
      </c>
      <c r="T24" s="299" t="s">
        <v>149</v>
      </c>
      <c r="U24" s="299" t="s">
        <v>150</v>
      </c>
      <c r="V24" s="367" t="s">
        <v>151</v>
      </c>
      <c r="W24" s="307" t="s">
        <v>152</v>
      </c>
      <c r="X24" s="727"/>
    </row>
    <row r="25" spans="1:26" ht="27.75" customHeight="1" x14ac:dyDescent="0.3">
      <c r="A25" s="907"/>
      <c r="B25" s="870"/>
      <c r="C25" s="703" t="s">
        <v>18</v>
      </c>
      <c r="D25" s="703">
        <f>D31+D33+D36+D38</f>
        <v>4146.9056700000001</v>
      </c>
      <c r="E25" s="703">
        <f>E31+E33+E36+E38</f>
        <v>4146.9056700000001</v>
      </c>
      <c r="F25" s="129"/>
      <c r="G25" s="129"/>
      <c r="H25" s="130"/>
      <c r="I25" s="131"/>
      <c r="J25" s="131"/>
      <c r="K25" s="131"/>
      <c r="L25" s="132"/>
      <c r="M25" s="320" t="s">
        <v>19</v>
      </c>
      <c r="N25" s="527">
        <f>N30</f>
        <v>9</v>
      </c>
      <c r="O25" s="527">
        <f t="shared" ref="O25:W25" si="6">O30</f>
        <v>20</v>
      </c>
      <c r="P25" s="527">
        <f t="shared" si="6"/>
        <v>6</v>
      </c>
      <c r="Q25" s="527">
        <f t="shared" si="6"/>
        <v>36</v>
      </c>
      <c r="R25" s="527">
        <f t="shared" si="6"/>
        <v>4345</v>
      </c>
      <c r="S25" s="527">
        <f t="shared" si="6"/>
        <v>1205</v>
      </c>
      <c r="T25" s="527">
        <f t="shared" si="6"/>
        <v>94</v>
      </c>
      <c r="U25" s="527">
        <f t="shared" si="6"/>
        <v>1</v>
      </c>
      <c r="V25" s="726">
        <f t="shared" si="6"/>
        <v>2140</v>
      </c>
      <c r="W25" s="323">
        <f t="shared" si="6"/>
        <v>47</v>
      </c>
      <c r="X25" s="728"/>
    </row>
    <row r="26" spans="1:26" ht="33.75" customHeight="1" thickBot="1" x14ac:dyDescent="0.35">
      <c r="A26" s="907"/>
      <c r="B26" s="870"/>
      <c r="C26" s="703" t="s">
        <v>20</v>
      </c>
      <c r="D26" s="703">
        <f>D39</f>
        <v>71.67577</v>
      </c>
      <c r="E26" s="703">
        <f>E39</f>
        <v>71.67577</v>
      </c>
      <c r="F26" s="129"/>
      <c r="G26" s="158"/>
      <c r="H26" s="159"/>
      <c r="I26" s="131"/>
      <c r="J26" s="160"/>
      <c r="K26" s="160"/>
      <c r="L26" s="132"/>
      <c r="M26" s="321" t="s">
        <v>21</v>
      </c>
      <c r="N26" s="323">
        <f>N31</f>
        <v>9</v>
      </c>
      <c r="O26" s="323">
        <v>10</v>
      </c>
      <c r="P26" s="323">
        <v>6</v>
      </c>
      <c r="Q26" s="323">
        <f t="shared" ref="Q26:W26" si="7">Q31</f>
        <v>33</v>
      </c>
      <c r="R26" s="323">
        <f t="shared" si="7"/>
        <v>4927</v>
      </c>
      <c r="S26" s="323">
        <f t="shared" si="7"/>
        <v>1205</v>
      </c>
      <c r="T26" s="323">
        <f t="shared" si="7"/>
        <v>28</v>
      </c>
      <c r="U26" s="323">
        <f t="shared" si="7"/>
        <v>1</v>
      </c>
      <c r="V26" s="893">
        <f t="shared" si="7"/>
        <v>661</v>
      </c>
      <c r="W26" s="323">
        <f t="shared" si="7"/>
        <v>10</v>
      </c>
      <c r="X26" s="728"/>
    </row>
    <row r="27" spans="1:26" ht="31.2" x14ac:dyDescent="0.3">
      <c r="A27" s="907"/>
      <c r="B27" s="870"/>
      <c r="C27" s="703" t="s">
        <v>68</v>
      </c>
      <c r="D27" s="161">
        <f>D40</f>
        <v>952.26373999999998</v>
      </c>
      <c r="E27" s="161">
        <f>E40</f>
        <v>952.26373999999998</v>
      </c>
      <c r="F27" s="129"/>
      <c r="G27" s="162"/>
      <c r="H27" s="163"/>
      <c r="I27" s="131"/>
      <c r="J27" s="164"/>
      <c r="K27" s="164"/>
      <c r="L27" s="132"/>
      <c r="M27" s="317"/>
      <c r="N27" s="295"/>
      <c r="O27" s="294"/>
      <c r="P27" s="317"/>
      <c r="Q27" s="317"/>
      <c r="R27" s="317"/>
      <c r="S27" s="317"/>
      <c r="T27" s="317"/>
      <c r="U27" s="317"/>
      <c r="V27" s="317"/>
      <c r="W27" s="317"/>
      <c r="X27" s="317"/>
    </row>
    <row r="28" spans="1:26" ht="13.5" customHeight="1" thickBot="1" x14ac:dyDescent="0.35">
      <c r="A28" s="907"/>
      <c r="B28" s="870"/>
      <c r="C28" s="818" t="s">
        <v>31</v>
      </c>
      <c r="D28" s="703">
        <f>D34</f>
        <v>0</v>
      </c>
      <c r="E28" s="703">
        <f>E34</f>
        <v>0</v>
      </c>
      <c r="F28" s="129"/>
      <c r="G28" s="146"/>
      <c r="H28" s="147"/>
      <c r="I28" s="131"/>
      <c r="J28" s="148"/>
      <c r="K28" s="148"/>
      <c r="L28" s="132"/>
      <c r="M28" s="317"/>
      <c r="N28" s="295"/>
      <c r="O28" s="294"/>
      <c r="P28" s="317"/>
      <c r="Q28" s="317"/>
      <c r="R28" s="317"/>
      <c r="S28" s="317"/>
      <c r="T28" s="317"/>
      <c r="U28" s="317"/>
      <c r="V28" s="317"/>
      <c r="W28" s="317"/>
      <c r="X28" s="317"/>
    </row>
    <row r="29" spans="1:26" ht="111" customHeight="1" thickBot="1" x14ac:dyDescent="0.35">
      <c r="A29" s="908"/>
      <c r="B29" s="871"/>
      <c r="C29" s="813"/>
      <c r="D29" s="165"/>
      <c r="E29" s="165"/>
      <c r="F29" s="134"/>
      <c r="G29" s="166"/>
      <c r="H29" s="167"/>
      <c r="I29" s="136"/>
      <c r="J29" s="168"/>
      <c r="K29" s="168"/>
      <c r="L29" s="137"/>
      <c r="M29" s="298" t="s">
        <v>14</v>
      </c>
      <c r="N29" s="300" t="s">
        <v>143</v>
      </c>
      <c r="O29" s="299" t="s">
        <v>144</v>
      </c>
      <c r="P29" s="299" t="s">
        <v>145</v>
      </c>
      <c r="Q29" s="299" t="s">
        <v>146</v>
      </c>
      <c r="R29" s="299" t="s">
        <v>147</v>
      </c>
      <c r="S29" s="299" t="s">
        <v>148</v>
      </c>
      <c r="T29" s="299" t="s">
        <v>149</v>
      </c>
      <c r="U29" s="299" t="s">
        <v>150</v>
      </c>
      <c r="V29" s="299" t="s">
        <v>151</v>
      </c>
      <c r="W29" s="299" t="s">
        <v>152</v>
      </c>
      <c r="X29" s="299" t="s">
        <v>153</v>
      </c>
      <c r="Y29" s="894"/>
      <c r="Z29" s="895"/>
    </row>
    <row r="30" spans="1:26" ht="31.5" customHeight="1" x14ac:dyDescent="0.3">
      <c r="A30" s="909" t="s">
        <v>36</v>
      </c>
      <c r="B30" s="828" t="s">
        <v>154</v>
      </c>
      <c r="C30" s="169" t="s">
        <v>13</v>
      </c>
      <c r="D30" s="587">
        <f>D31</f>
        <v>137.80000000000001</v>
      </c>
      <c r="E30" s="587">
        <f>E31</f>
        <v>137.80000000000001</v>
      </c>
      <c r="F30" s="139">
        <f t="shared" si="3"/>
        <v>1</v>
      </c>
      <c r="G30" s="140">
        <f>E30/D30*100</f>
        <v>100</v>
      </c>
      <c r="H30" s="141">
        <f>J30+K30</f>
        <v>30</v>
      </c>
      <c r="I30" s="142">
        <f>IF(G30=100,25,IF((G30&gt;90)*(G30&lt;100),0,IF((G30&gt;70)*(G30&lt;90),-10,-25)))</f>
        <v>25</v>
      </c>
      <c r="J30" s="143">
        <f>IF((F30&gt;0)*(F30&lt;5),20,0)</f>
        <v>20</v>
      </c>
      <c r="K30" s="143">
        <f>IF(L30=1,60,10)</f>
        <v>10</v>
      </c>
      <c r="L30" s="144">
        <f>IF(SUM(N30:X30)=SUM(N31:X31),1,IF(SUM(N30:X30)&lt;SUM(N31:X31),1,2))</f>
        <v>2</v>
      </c>
      <c r="M30" s="320" t="s">
        <v>19</v>
      </c>
      <c r="N30" s="463">
        <v>9</v>
      </c>
      <c r="O30" s="463">
        <v>20</v>
      </c>
      <c r="P30" s="528">
        <v>6</v>
      </c>
      <c r="Q30" s="528">
        <v>36</v>
      </c>
      <c r="R30" s="528">
        <v>4345</v>
      </c>
      <c r="S30" s="666">
        <v>1205</v>
      </c>
      <c r="T30" s="528">
        <v>94</v>
      </c>
      <c r="U30" s="528">
        <v>1</v>
      </c>
      <c r="V30" s="528">
        <v>2140</v>
      </c>
      <c r="W30" s="528">
        <v>47</v>
      </c>
      <c r="X30" s="528">
        <v>180</v>
      </c>
    </row>
    <row r="31" spans="1:26" ht="17.399999999999999" thickBot="1" x14ac:dyDescent="0.35">
      <c r="A31" s="910"/>
      <c r="B31" s="829"/>
      <c r="C31" s="149" t="s">
        <v>18</v>
      </c>
      <c r="D31" s="588">
        <v>137.80000000000001</v>
      </c>
      <c r="E31" s="588">
        <v>137.80000000000001</v>
      </c>
      <c r="F31" s="129"/>
      <c r="G31" s="146"/>
      <c r="H31" s="147"/>
      <c r="I31" s="142"/>
      <c r="J31" s="148"/>
      <c r="K31" s="148"/>
      <c r="L31" s="132"/>
      <c r="M31" s="321" t="s">
        <v>21</v>
      </c>
      <c r="N31" s="324">
        <v>9</v>
      </c>
      <c r="O31" s="324">
        <v>20</v>
      </c>
      <c r="P31" s="529">
        <v>6</v>
      </c>
      <c r="Q31" s="725">
        <v>33</v>
      </c>
      <c r="R31" s="725">
        <v>4927</v>
      </c>
      <c r="S31" s="725">
        <v>1205</v>
      </c>
      <c r="T31" s="725">
        <v>28</v>
      </c>
      <c r="U31" s="529">
        <v>1</v>
      </c>
      <c r="V31" s="725">
        <v>661</v>
      </c>
      <c r="W31" s="725">
        <v>10</v>
      </c>
      <c r="X31" s="725">
        <v>0</v>
      </c>
    </row>
    <row r="32" spans="1:26" ht="112.2" customHeight="1" thickBot="1" x14ac:dyDescent="0.35">
      <c r="A32" s="909" t="s">
        <v>414</v>
      </c>
      <c r="B32" s="829" t="s">
        <v>155</v>
      </c>
      <c r="C32" s="149" t="s">
        <v>13</v>
      </c>
      <c r="D32" s="145">
        <f>D33+D34</f>
        <v>3852.1740799999998</v>
      </c>
      <c r="E32" s="145">
        <f>E33+E34</f>
        <v>3852.1740799999998</v>
      </c>
      <c r="F32" s="129">
        <f t="shared" si="3"/>
        <v>1</v>
      </c>
      <c r="G32" s="146">
        <f>E32/D32*100</f>
        <v>100</v>
      </c>
      <c r="H32" s="147">
        <f>J32+K32</f>
        <v>30</v>
      </c>
      <c r="I32" s="142">
        <f t="shared" ref="I32:I37" si="8">IF(G32=100,25,IF((G32&gt;90)*(G32&lt;100),0,IF((G32&gt;70)*(G32&lt;90),-10,-25)))</f>
        <v>25</v>
      </c>
      <c r="J32" s="148">
        <f>IF((F32&gt;0)*(F32&lt;5),20,0)</f>
        <v>20</v>
      </c>
      <c r="K32" s="148">
        <f>IF(L32=1,60,10)</f>
        <v>10</v>
      </c>
      <c r="L32" s="132">
        <f>IF(SUM(M33:Y33)=SUM(M34:Y34),1,IF(SUM(M33:Y33)&lt;SUM(M34:Y34),1,2))</f>
        <v>2</v>
      </c>
      <c r="M32" s="298" t="s">
        <v>14</v>
      </c>
      <c r="N32" s="300" t="s">
        <v>143</v>
      </c>
      <c r="O32" s="299" t="s">
        <v>144</v>
      </c>
      <c r="P32" s="299" t="s">
        <v>145</v>
      </c>
      <c r="Q32" s="299" t="s">
        <v>146</v>
      </c>
      <c r="R32" s="299" t="s">
        <v>147</v>
      </c>
      <c r="S32" s="299" t="s">
        <v>148</v>
      </c>
      <c r="T32" s="299" t="s">
        <v>149</v>
      </c>
      <c r="U32" s="299" t="s">
        <v>150</v>
      </c>
      <c r="V32" s="299" t="s">
        <v>151</v>
      </c>
      <c r="W32" s="299" t="s">
        <v>152</v>
      </c>
      <c r="X32" s="299" t="s">
        <v>153</v>
      </c>
    </row>
    <row r="33" spans="1:24" ht="16.8" x14ac:dyDescent="0.3">
      <c r="A33" s="911"/>
      <c r="B33" s="829"/>
      <c r="C33" s="149" t="s">
        <v>18</v>
      </c>
      <c r="D33" s="448">
        <v>3852.1740799999998</v>
      </c>
      <c r="E33" s="671">
        <v>3852.1740799999998</v>
      </c>
      <c r="F33" s="129"/>
      <c r="G33" s="146"/>
      <c r="H33" s="147"/>
      <c r="I33" s="142"/>
      <c r="J33" s="148"/>
      <c r="K33" s="148"/>
      <c r="L33" s="132"/>
      <c r="M33" s="320" t="s">
        <v>19</v>
      </c>
      <c r="N33" s="463">
        <f>N30</f>
        <v>9</v>
      </c>
      <c r="O33" s="463">
        <f t="shared" ref="O33:X33" si="9">O30</f>
        <v>20</v>
      </c>
      <c r="P33" s="463">
        <f t="shared" si="9"/>
        <v>6</v>
      </c>
      <c r="Q33" s="463">
        <f t="shared" si="9"/>
        <v>36</v>
      </c>
      <c r="R33" s="463">
        <f t="shared" si="9"/>
        <v>4345</v>
      </c>
      <c r="S33" s="463">
        <f t="shared" si="9"/>
        <v>1205</v>
      </c>
      <c r="T33" s="463">
        <f t="shared" si="9"/>
        <v>94</v>
      </c>
      <c r="U33" s="463">
        <f t="shared" si="9"/>
        <v>1</v>
      </c>
      <c r="V33" s="463">
        <f t="shared" si="9"/>
        <v>2140</v>
      </c>
      <c r="W33" s="463">
        <f t="shared" si="9"/>
        <v>47</v>
      </c>
      <c r="X33" s="463">
        <f t="shared" si="9"/>
        <v>180</v>
      </c>
    </row>
    <row r="34" spans="1:24" ht="32.25" customHeight="1" thickBot="1" x14ac:dyDescent="0.35">
      <c r="A34" s="910"/>
      <c r="B34" s="829"/>
      <c r="C34" s="149" t="s">
        <v>31</v>
      </c>
      <c r="D34" s="447">
        <v>0</v>
      </c>
      <c r="E34" s="447">
        <v>0</v>
      </c>
      <c r="F34" s="129"/>
      <c r="G34" s="146"/>
      <c r="H34" s="147"/>
      <c r="I34" s="142"/>
      <c r="J34" s="148"/>
      <c r="K34" s="148"/>
      <c r="L34" s="132"/>
      <c r="M34" s="321" t="s">
        <v>21</v>
      </c>
      <c r="N34" s="324">
        <f>N31</f>
        <v>9</v>
      </c>
      <c r="O34" s="324">
        <v>20</v>
      </c>
      <c r="P34" s="529">
        <v>6</v>
      </c>
      <c r="Q34" s="725">
        <v>33</v>
      </c>
      <c r="R34" s="725">
        <f t="shared" ref="R34:X34" si="10">R31</f>
        <v>4927</v>
      </c>
      <c r="S34" s="529">
        <f t="shared" si="10"/>
        <v>1205</v>
      </c>
      <c r="T34" s="725">
        <f t="shared" si="10"/>
        <v>28</v>
      </c>
      <c r="U34" s="725">
        <f t="shared" si="10"/>
        <v>1</v>
      </c>
      <c r="V34" s="725">
        <f t="shared" si="10"/>
        <v>661</v>
      </c>
      <c r="W34" s="725">
        <f t="shared" si="10"/>
        <v>10</v>
      </c>
      <c r="X34" s="725">
        <f t="shared" si="10"/>
        <v>0</v>
      </c>
    </row>
    <row r="35" spans="1:24" ht="114" customHeight="1" thickBot="1" x14ac:dyDescent="0.35">
      <c r="A35" s="909" t="s">
        <v>156</v>
      </c>
      <c r="B35" s="829" t="s">
        <v>157</v>
      </c>
      <c r="C35" s="149" t="s">
        <v>13</v>
      </c>
      <c r="D35" s="588">
        <f>D36</f>
        <v>156.20760000000001</v>
      </c>
      <c r="E35" s="588">
        <f>E36</f>
        <v>156.20760000000001</v>
      </c>
      <c r="F35" s="129">
        <f t="shared" si="3"/>
        <v>1</v>
      </c>
      <c r="G35" s="146">
        <f>E35/D35*100</f>
        <v>100</v>
      </c>
      <c r="H35" s="147">
        <f>J35+K35</f>
        <v>30</v>
      </c>
      <c r="I35" s="142">
        <f t="shared" si="8"/>
        <v>25</v>
      </c>
      <c r="J35" s="148">
        <f>IF((F35&gt;0)*(F35&lt;5),20,0)</f>
        <v>20</v>
      </c>
      <c r="K35" s="148">
        <f>IF(L35=1,60,10)</f>
        <v>10</v>
      </c>
      <c r="L35" s="132">
        <f>IF(SUM(M36:Y36)=SUM(M37:Y37),1,IF(SUM(M36:Y36)&lt;SUM(M37:Y37),1,2))</f>
        <v>2</v>
      </c>
      <c r="M35" s="298" t="s">
        <v>14</v>
      </c>
      <c r="N35" s="300" t="s">
        <v>143</v>
      </c>
      <c r="O35" s="299" t="s">
        <v>144</v>
      </c>
      <c r="P35" s="299" t="s">
        <v>145</v>
      </c>
      <c r="Q35" s="299" t="s">
        <v>146</v>
      </c>
      <c r="R35" s="299" t="s">
        <v>147</v>
      </c>
      <c r="S35" s="299" t="s">
        <v>148</v>
      </c>
      <c r="T35" s="299" t="s">
        <v>149</v>
      </c>
      <c r="U35" s="299" t="s">
        <v>150</v>
      </c>
      <c r="V35" s="299" t="s">
        <v>151</v>
      </c>
      <c r="W35" s="299" t="s">
        <v>152</v>
      </c>
      <c r="X35" s="299" t="s">
        <v>153</v>
      </c>
    </row>
    <row r="36" spans="1:24" ht="23.25" customHeight="1" x14ac:dyDescent="0.3">
      <c r="A36" s="910"/>
      <c r="B36" s="829"/>
      <c r="C36" s="149" t="s">
        <v>18</v>
      </c>
      <c r="D36" s="694">
        <v>156.20760000000001</v>
      </c>
      <c r="E36" s="694">
        <v>156.20760000000001</v>
      </c>
      <c r="F36" s="129"/>
      <c r="G36" s="146"/>
      <c r="H36" s="147"/>
      <c r="I36" s="142"/>
      <c r="J36" s="148"/>
      <c r="K36" s="148"/>
      <c r="L36" s="132"/>
      <c r="M36" s="320" t="s">
        <v>19</v>
      </c>
      <c r="N36" s="463">
        <f>N33</f>
        <v>9</v>
      </c>
      <c r="O36" s="463">
        <f t="shared" ref="O36:X36" si="11">O33</f>
        <v>20</v>
      </c>
      <c r="P36" s="463">
        <f t="shared" si="11"/>
        <v>6</v>
      </c>
      <c r="Q36" s="463">
        <f t="shared" si="11"/>
        <v>36</v>
      </c>
      <c r="R36" s="463">
        <f t="shared" si="11"/>
        <v>4345</v>
      </c>
      <c r="S36" s="463">
        <f t="shared" si="11"/>
        <v>1205</v>
      </c>
      <c r="T36" s="463">
        <f t="shared" si="11"/>
        <v>94</v>
      </c>
      <c r="U36" s="463">
        <f t="shared" si="11"/>
        <v>1</v>
      </c>
      <c r="V36" s="463">
        <f t="shared" si="11"/>
        <v>2140</v>
      </c>
      <c r="W36" s="463">
        <f t="shared" si="11"/>
        <v>47</v>
      </c>
      <c r="X36" s="463">
        <f t="shared" si="11"/>
        <v>180</v>
      </c>
    </row>
    <row r="37" spans="1:24" ht="32.25" customHeight="1" thickBot="1" x14ac:dyDescent="0.35">
      <c r="A37" s="909" t="s">
        <v>158</v>
      </c>
      <c r="B37" s="838" t="s">
        <v>159</v>
      </c>
      <c r="C37" s="611" t="s">
        <v>13</v>
      </c>
      <c r="D37" s="617">
        <f>D38+D39+D40</f>
        <v>1024.6634999999999</v>
      </c>
      <c r="E37" s="617">
        <f>E38+E39+E40</f>
        <v>1024.6634999999999</v>
      </c>
      <c r="F37" s="129">
        <f t="shared" si="3"/>
        <v>1</v>
      </c>
      <c r="G37" s="146">
        <f t="shared" ref="G37" si="12">E37/D37*100</f>
        <v>100</v>
      </c>
      <c r="H37" s="147">
        <f>J37+K37+I37</f>
        <v>55</v>
      </c>
      <c r="I37" s="142">
        <f t="shared" si="8"/>
        <v>25</v>
      </c>
      <c r="J37" s="148">
        <f t="shared" ref="J37" si="13">IF((F37&gt;0)*(F37&lt;5),20,0)</f>
        <v>20</v>
      </c>
      <c r="K37" s="148">
        <f t="shared" ref="K37" si="14">IF(L37=1,60,10)</f>
        <v>10</v>
      </c>
      <c r="L37" s="132">
        <f>IF(SUM(N36:X36)=SUM(N37:X37),1,IF(SUM(N36:X36)&lt;SUM(N37:X37),1,2))</f>
        <v>2</v>
      </c>
      <c r="M37" s="321" t="s">
        <v>21</v>
      </c>
      <c r="N37" s="324">
        <f>N34</f>
        <v>9</v>
      </c>
      <c r="O37" s="324">
        <f t="shared" ref="O37:X37" si="15">O34</f>
        <v>20</v>
      </c>
      <c r="P37" s="324">
        <f t="shared" si="15"/>
        <v>6</v>
      </c>
      <c r="Q37" s="324">
        <f t="shared" si="15"/>
        <v>33</v>
      </c>
      <c r="R37" s="324">
        <f t="shared" si="15"/>
        <v>4927</v>
      </c>
      <c r="S37" s="324">
        <f t="shared" si="15"/>
        <v>1205</v>
      </c>
      <c r="T37" s="324">
        <f t="shared" si="15"/>
        <v>28</v>
      </c>
      <c r="U37" s="324">
        <f t="shared" si="15"/>
        <v>1</v>
      </c>
      <c r="V37" s="324">
        <f t="shared" si="15"/>
        <v>661</v>
      </c>
      <c r="W37" s="324">
        <f t="shared" si="15"/>
        <v>10</v>
      </c>
      <c r="X37" s="324">
        <f t="shared" si="15"/>
        <v>0</v>
      </c>
    </row>
    <row r="38" spans="1:24" ht="16.8" x14ac:dyDescent="0.3">
      <c r="A38" s="911"/>
      <c r="B38" s="838"/>
      <c r="C38" s="611" t="s">
        <v>18</v>
      </c>
      <c r="D38" s="701">
        <v>0.72399000000000002</v>
      </c>
      <c r="E38" s="701">
        <v>0.72399000000000002</v>
      </c>
      <c r="F38" s="129"/>
      <c r="G38" s="146"/>
      <c r="H38" s="147"/>
      <c r="I38" s="131"/>
      <c r="J38" s="148"/>
      <c r="K38" s="148"/>
      <c r="L38" s="132"/>
      <c r="M38" s="317"/>
      <c r="N38" s="295"/>
      <c r="O38" s="294"/>
      <c r="P38" s="317"/>
      <c r="Q38" s="317"/>
      <c r="R38" s="317"/>
      <c r="S38" s="317"/>
      <c r="T38" s="317"/>
      <c r="U38" s="317"/>
      <c r="V38" s="317"/>
      <c r="W38" s="317"/>
      <c r="X38" s="317"/>
    </row>
    <row r="39" spans="1:24" ht="31.2" x14ac:dyDescent="0.3">
      <c r="A39" s="911"/>
      <c r="B39" s="838"/>
      <c r="C39" s="611" t="s">
        <v>20</v>
      </c>
      <c r="D39" s="701">
        <v>71.67577</v>
      </c>
      <c r="E39" s="701">
        <v>71.67577</v>
      </c>
      <c r="F39" s="129"/>
      <c r="G39" s="146"/>
      <c r="H39" s="147"/>
      <c r="I39" s="131"/>
      <c r="J39" s="148"/>
      <c r="K39" s="148"/>
      <c r="L39" s="132"/>
      <c r="M39" s="317"/>
      <c r="N39" s="295"/>
      <c r="O39" s="294"/>
      <c r="P39" s="317"/>
      <c r="Q39" s="317"/>
      <c r="R39" s="317"/>
      <c r="S39" s="317"/>
      <c r="T39" s="317"/>
      <c r="U39" s="317"/>
      <c r="V39" s="317"/>
      <c r="W39" s="317"/>
      <c r="X39" s="317"/>
    </row>
    <row r="40" spans="1:24" ht="31.2" x14ac:dyDescent="0.3">
      <c r="A40" s="910"/>
      <c r="B40" s="838"/>
      <c r="C40" s="611" t="s">
        <v>68</v>
      </c>
      <c r="D40" s="701">
        <v>952.26373999999998</v>
      </c>
      <c r="E40" s="701">
        <v>952.26373999999998</v>
      </c>
      <c r="F40" s="129"/>
      <c r="G40" s="146"/>
      <c r="H40" s="147"/>
      <c r="I40" s="131"/>
      <c r="J40" s="148"/>
      <c r="K40" s="148"/>
      <c r="L40" s="132"/>
      <c r="M40" s="317"/>
      <c r="N40" s="295"/>
      <c r="O40" s="294"/>
      <c r="P40" s="317"/>
      <c r="Q40" s="317"/>
      <c r="R40" s="317"/>
      <c r="S40" s="317"/>
      <c r="T40" s="317"/>
      <c r="U40" s="317"/>
      <c r="V40" s="317"/>
      <c r="W40" s="317"/>
      <c r="X40" s="317"/>
    </row>
    <row r="41" spans="1:24" ht="57.75" customHeight="1" x14ac:dyDescent="0.3">
      <c r="A41" s="912" t="s">
        <v>160</v>
      </c>
      <c r="B41" s="832" t="s">
        <v>161</v>
      </c>
      <c r="C41" s="170" t="s">
        <v>13</v>
      </c>
      <c r="D41" s="282">
        <f>D42</f>
        <v>0</v>
      </c>
      <c r="E41" s="282">
        <f>E42</f>
        <v>0</v>
      </c>
      <c r="F41" s="280"/>
      <c r="G41" s="281"/>
      <c r="H41" s="171"/>
      <c r="I41" s="171"/>
      <c r="J41" s="171"/>
      <c r="K41" s="171"/>
      <c r="L41" s="172"/>
      <c r="M41" s="317"/>
      <c r="N41" s="295"/>
      <c r="O41" s="294"/>
      <c r="P41" s="317"/>
      <c r="Q41" s="317"/>
      <c r="R41" s="317"/>
      <c r="S41" s="317"/>
      <c r="T41" s="317"/>
      <c r="U41" s="317"/>
      <c r="V41" s="317"/>
      <c r="W41" s="317"/>
      <c r="X41" s="317"/>
    </row>
    <row r="42" spans="1:24" ht="42" customHeight="1" thickBot="1" x14ac:dyDescent="0.35">
      <c r="A42" s="912"/>
      <c r="B42" s="832"/>
      <c r="C42" s="170" t="s">
        <v>18</v>
      </c>
      <c r="D42" s="250">
        <v>0</v>
      </c>
      <c r="E42" s="250">
        <v>0</v>
      </c>
      <c r="F42" s="280"/>
      <c r="G42" s="281"/>
      <c r="H42" s="173"/>
      <c r="I42" s="173"/>
      <c r="J42" s="173"/>
      <c r="K42" s="173"/>
      <c r="L42" s="174"/>
      <c r="M42" s="317"/>
      <c r="N42" s="295"/>
      <c r="O42" s="294"/>
      <c r="P42" s="317"/>
      <c r="Q42" s="317"/>
      <c r="R42" s="317"/>
      <c r="S42" s="317"/>
      <c r="T42" s="317"/>
      <c r="U42" s="317"/>
      <c r="V42" s="317"/>
      <c r="W42" s="317"/>
      <c r="X42" s="317"/>
    </row>
    <row r="43" spans="1:24" ht="53.4" thickBot="1" x14ac:dyDescent="0.35">
      <c r="A43" s="912" t="s">
        <v>162</v>
      </c>
      <c r="B43" s="832"/>
      <c r="C43" s="170" t="s">
        <v>13</v>
      </c>
      <c r="D43" s="858" t="s">
        <v>163</v>
      </c>
      <c r="E43" s="859"/>
      <c r="F43" s="860"/>
      <c r="G43" s="860"/>
      <c r="H43" s="860"/>
      <c r="I43" s="860"/>
      <c r="J43" s="860"/>
      <c r="K43" s="860"/>
      <c r="L43" s="861"/>
      <c r="M43" s="298" t="s">
        <v>14</v>
      </c>
      <c r="N43" s="328"/>
      <c r="O43" s="328"/>
      <c r="P43" s="329" t="s">
        <v>478</v>
      </c>
      <c r="R43" s="317"/>
      <c r="S43" s="317"/>
      <c r="T43" s="317"/>
      <c r="U43" s="317"/>
      <c r="V43" s="317"/>
      <c r="W43" s="317"/>
      <c r="X43" s="317"/>
    </row>
    <row r="44" spans="1:24" ht="24" customHeight="1" thickBot="1" x14ac:dyDescent="0.35">
      <c r="A44" s="913"/>
      <c r="B44" s="836"/>
      <c r="C44" s="175" t="s">
        <v>18</v>
      </c>
      <c r="D44" s="862"/>
      <c r="E44" s="863"/>
      <c r="F44" s="863"/>
      <c r="G44" s="863"/>
      <c r="H44" s="863"/>
      <c r="I44" s="863"/>
      <c r="J44" s="863"/>
      <c r="K44" s="863"/>
      <c r="L44" s="864"/>
      <c r="M44" s="310" t="s">
        <v>19</v>
      </c>
      <c r="N44" s="463"/>
      <c r="O44" s="528"/>
      <c r="P44" s="528">
        <v>28</v>
      </c>
      <c r="R44" s="317"/>
      <c r="S44" s="317"/>
      <c r="T44" s="317"/>
      <c r="U44" s="317"/>
      <c r="V44" s="317"/>
      <c r="W44" s="317"/>
      <c r="X44" s="317"/>
    </row>
    <row r="45" spans="1:24" ht="17.399999999999999" thickBot="1" x14ac:dyDescent="0.35">
      <c r="A45" s="896">
        <v>3</v>
      </c>
      <c r="B45" s="812" t="s">
        <v>164</v>
      </c>
      <c r="C45" s="122" t="s">
        <v>13</v>
      </c>
      <c r="D45" s="468">
        <f>D48+D50+D52+D56</f>
        <v>2060.7663600000001</v>
      </c>
      <c r="E45" s="468">
        <f>E48+E50+E52+E56</f>
        <v>2060.7663600000001</v>
      </c>
      <c r="F45" s="124">
        <f t="shared" si="3"/>
        <v>1</v>
      </c>
      <c r="G45" s="140">
        <f>E45/D45*100</f>
        <v>100</v>
      </c>
      <c r="H45" s="375">
        <f>(E50*H50+E48*H48+H52*E52+H56*E56)/E45</f>
        <v>90</v>
      </c>
      <c r="I45" s="125"/>
      <c r="J45" s="125"/>
      <c r="K45" s="125"/>
      <c r="L45" s="126">
        <f>IF(SUM(N44:P44)=SUM(N45:P45),1,IF(SUM(N44:P44)&lt;SUM(N45:P45),1,2))</f>
        <v>1</v>
      </c>
      <c r="M45" s="311" t="s">
        <v>21</v>
      </c>
      <c r="N45" s="324"/>
      <c r="O45" s="529"/>
      <c r="P45" s="725">
        <v>37</v>
      </c>
      <c r="R45" s="317"/>
      <c r="S45" s="317"/>
      <c r="T45" s="317"/>
      <c r="U45" s="317"/>
      <c r="V45" s="317"/>
      <c r="W45" s="317"/>
      <c r="X45" s="317"/>
    </row>
    <row r="46" spans="1:24" ht="31.8" thickBot="1" x14ac:dyDescent="0.35">
      <c r="A46" s="914"/>
      <c r="B46" s="865"/>
      <c r="C46" s="698" t="s">
        <v>20</v>
      </c>
      <c r="D46" s="707">
        <f>D53</f>
        <v>161.15</v>
      </c>
      <c r="E46" s="707">
        <f>E53</f>
        <v>161.15</v>
      </c>
      <c r="F46" s="708"/>
      <c r="G46" s="140"/>
      <c r="H46" s="709"/>
      <c r="I46" s="710"/>
      <c r="J46" s="710"/>
      <c r="K46" s="710"/>
      <c r="L46" s="126"/>
      <c r="M46" s="339"/>
      <c r="N46" s="711"/>
      <c r="O46" s="712"/>
      <c r="P46" s="713"/>
      <c r="R46" s="317"/>
      <c r="S46" s="317"/>
      <c r="T46" s="317"/>
      <c r="U46" s="317"/>
      <c r="V46" s="317"/>
      <c r="W46" s="317"/>
      <c r="X46" s="317"/>
    </row>
    <row r="47" spans="1:24" ht="40.200000000000003" thickBot="1" x14ac:dyDescent="0.35">
      <c r="A47" s="479"/>
      <c r="B47" s="813"/>
      <c r="C47" s="133" t="s">
        <v>18</v>
      </c>
      <c r="D47" s="133">
        <f>D49+D51+D57</f>
        <v>1899.61636</v>
      </c>
      <c r="E47" s="697">
        <f>E49+E51+E57</f>
        <v>1899.61636</v>
      </c>
      <c r="F47" s="134">
        <f t="shared" si="3"/>
        <v>1</v>
      </c>
      <c r="G47" s="140">
        <f>E47/D47*100</f>
        <v>100</v>
      </c>
      <c r="H47" s="135"/>
      <c r="I47" s="136"/>
      <c r="J47" s="136"/>
      <c r="K47" s="136"/>
      <c r="L47" s="126"/>
      <c r="M47" s="298" t="s">
        <v>14</v>
      </c>
      <c r="N47" s="328"/>
      <c r="O47" s="328"/>
      <c r="P47" s="329" t="s">
        <v>167</v>
      </c>
      <c r="R47" s="317"/>
      <c r="S47" s="317"/>
      <c r="T47" s="317"/>
      <c r="U47" s="317"/>
      <c r="V47" s="317"/>
      <c r="W47" s="317"/>
      <c r="X47" s="317"/>
    </row>
    <row r="48" spans="1:24" ht="39.75" customHeight="1" thickBot="1" x14ac:dyDescent="0.35">
      <c r="A48" s="915" t="s">
        <v>41</v>
      </c>
      <c r="B48" s="837" t="s">
        <v>168</v>
      </c>
      <c r="C48" s="169" t="s">
        <v>13</v>
      </c>
      <c r="D48" s="138">
        <f>D49</f>
        <v>83.414000000000001</v>
      </c>
      <c r="E48" s="138">
        <f>E49</f>
        <v>83.414000000000001</v>
      </c>
      <c r="F48" s="139">
        <f t="shared" si="3"/>
        <v>1</v>
      </c>
      <c r="G48" s="146">
        <f t="shared" ref="G48" si="16">E48/D48*100</f>
        <v>100</v>
      </c>
      <c r="H48" s="141">
        <f>I48+J48+K48</f>
        <v>90</v>
      </c>
      <c r="I48" s="142">
        <f>IF(G48=100,25,IF((G48&gt;90)*(G48&lt;100),0,IF((G48&gt;70)*(G48&lt;90),-10,-25)))</f>
        <v>25</v>
      </c>
      <c r="J48" s="143">
        <f>IF((F48&gt;0)*(F48&lt;5),10,0)</f>
        <v>10</v>
      </c>
      <c r="K48" s="143">
        <f t="shared" ref="K48:K67" si="17">IF(L48=1,55,10)</f>
        <v>55</v>
      </c>
      <c r="L48" s="126">
        <f>IF(SUM(N48:P48)=SUM(N49:P49),1,IF(SUM(N48:P48)&lt;SUM(N49:P49),1,2))</f>
        <v>1</v>
      </c>
      <c r="M48" s="310" t="s">
        <v>19</v>
      </c>
      <c r="N48" s="463"/>
      <c r="O48" s="666"/>
      <c r="P48" s="666">
        <v>28</v>
      </c>
      <c r="R48" s="317"/>
      <c r="S48" s="317"/>
      <c r="T48" s="317"/>
      <c r="U48" s="317"/>
      <c r="V48" s="317"/>
      <c r="W48" s="317"/>
      <c r="X48" s="317"/>
    </row>
    <row r="49" spans="1:28" ht="41.25" customHeight="1" thickBot="1" x14ac:dyDescent="0.35">
      <c r="A49" s="912"/>
      <c r="B49" s="838"/>
      <c r="C49" s="149" t="s">
        <v>18</v>
      </c>
      <c r="D49" s="150">
        <v>83.414000000000001</v>
      </c>
      <c r="E49" s="150">
        <v>83.414000000000001</v>
      </c>
      <c r="F49" s="129"/>
      <c r="G49" s="146"/>
      <c r="H49" s="147"/>
      <c r="I49" s="131"/>
      <c r="J49" s="148"/>
      <c r="K49" s="148"/>
      <c r="L49" s="126"/>
      <c r="M49" s="311" t="s">
        <v>21</v>
      </c>
      <c r="N49" s="324"/>
      <c r="O49" s="667"/>
      <c r="P49" s="725">
        <v>37</v>
      </c>
      <c r="R49" s="317"/>
      <c r="S49" s="317"/>
      <c r="T49" s="317"/>
      <c r="U49" s="317"/>
      <c r="V49" s="317"/>
      <c r="W49" s="317"/>
      <c r="X49" s="317"/>
    </row>
    <row r="50" spans="1:28" ht="42" customHeight="1" thickBot="1" x14ac:dyDescent="0.35">
      <c r="A50" s="912" t="s">
        <v>169</v>
      </c>
      <c r="B50" s="838" t="s">
        <v>170</v>
      </c>
      <c r="C50" s="149" t="s">
        <v>13</v>
      </c>
      <c r="D50" s="149">
        <f>D51</f>
        <v>1742.20236</v>
      </c>
      <c r="E50" s="149">
        <f>E51</f>
        <v>1742.20236</v>
      </c>
      <c r="F50" s="129">
        <f t="shared" si="3"/>
        <v>1</v>
      </c>
      <c r="G50" s="146">
        <f>E50/D50*100</f>
        <v>100</v>
      </c>
      <c r="H50" s="147">
        <f>I50+J50+K50</f>
        <v>90</v>
      </c>
      <c r="I50" s="131">
        <f>IF(G50=100,25,IF((G50&gt;90)*(G50&lt;100),0,IF((G50&gt;70)*(G50&lt;90),-10,-25)))</f>
        <v>25</v>
      </c>
      <c r="J50" s="148">
        <f>IF((F50&gt;0)*(F50&lt;5),10,0)</f>
        <v>10</v>
      </c>
      <c r="K50" s="148">
        <f t="shared" si="17"/>
        <v>55</v>
      </c>
      <c r="L50" s="126">
        <f>IF(SUM(N51:P51)=SUM(N52:P52),1,IF(SUM(N51:P51)&lt;SUM(N52:P52),1,2))</f>
        <v>1</v>
      </c>
      <c r="M50" s="298" t="s">
        <v>14</v>
      </c>
      <c r="N50" s="328"/>
      <c r="O50" s="328"/>
      <c r="P50" s="329" t="s">
        <v>167</v>
      </c>
      <c r="R50" s="317"/>
      <c r="S50" s="317"/>
      <c r="T50" s="317"/>
      <c r="U50" s="317"/>
      <c r="V50" s="317"/>
      <c r="W50" s="317"/>
      <c r="X50" s="317"/>
    </row>
    <row r="51" spans="1:28" ht="23.25" customHeight="1" thickBot="1" x14ac:dyDescent="0.35">
      <c r="A51" s="912"/>
      <c r="B51" s="838"/>
      <c r="C51" s="149" t="s">
        <v>18</v>
      </c>
      <c r="D51" s="149">
        <v>1742.20236</v>
      </c>
      <c r="E51" s="668">
        <v>1742.20236</v>
      </c>
      <c r="F51" s="129"/>
      <c r="G51" s="146"/>
      <c r="H51" s="147"/>
      <c r="I51" s="131"/>
      <c r="J51" s="148"/>
      <c r="K51" s="148"/>
      <c r="L51" s="126"/>
      <c r="M51" s="310" t="s">
        <v>19</v>
      </c>
      <c r="N51" s="463"/>
      <c r="O51" s="666"/>
      <c r="P51" s="666">
        <v>28</v>
      </c>
      <c r="R51" s="317"/>
      <c r="S51" s="317"/>
      <c r="T51" s="317"/>
      <c r="U51" s="317"/>
      <c r="V51" s="317"/>
      <c r="W51" s="317"/>
      <c r="X51" s="317"/>
    </row>
    <row r="52" spans="1:28" ht="61.5" customHeight="1" thickBot="1" x14ac:dyDescent="0.35">
      <c r="A52" s="912" t="s">
        <v>171</v>
      </c>
      <c r="B52" s="838" t="s">
        <v>172</v>
      </c>
      <c r="C52" s="669" t="s">
        <v>13</v>
      </c>
      <c r="D52" s="671">
        <f>D53</f>
        <v>161.15</v>
      </c>
      <c r="E52" s="671">
        <f>E53</f>
        <v>161.15</v>
      </c>
      <c r="F52" s="129">
        <f t="shared" si="3"/>
        <v>1</v>
      </c>
      <c r="G52" s="146">
        <f t="shared" ref="G52" si="18">E52/D52*100</f>
        <v>100</v>
      </c>
      <c r="H52" s="147">
        <f t="shared" ref="H52" si="19">I52+J52+K52</f>
        <v>90</v>
      </c>
      <c r="I52" s="131">
        <f t="shared" ref="I52" si="20">IF(G52=100,25,IF((G52&gt;90)*(G52&lt;100),0,IF((G52&gt;70)*(G52&lt;90),-10,-25)))</f>
        <v>25</v>
      </c>
      <c r="J52" s="148">
        <f t="shared" ref="J52" si="21">IF((F52&gt;0)*(F52&lt;5),10,0)</f>
        <v>10</v>
      </c>
      <c r="K52" s="148">
        <f t="shared" si="17"/>
        <v>55</v>
      </c>
      <c r="L52" s="126">
        <f>IF(SUM(N54:P54)=SUM(N55:P55),1,IF(SUM(N54:P54)&lt;SUM(N55:P55),1,2))</f>
        <v>1</v>
      </c>
      <c r="M52" s="311" t="s">
        <v>21</v>
      </c>
      <c r="N52" s="324"/>
      <c r="O52" s="667"/>
      <c r="P52" s="725">
        <v>37</v>
      </c>
      <c r="R52" s="317"/>
      <c r="S52" s="317"/>
      <c r="T52" s="317"/>
      <c r="U52" s="317"/>
      <c r="V52" s="317"/>
      <c r="W52" s="317"/>
      <c r="X52" s="317"/>
    </row>
    <row r="53" spans="1:28" ht="60" customHeight="1" thickBot="1" x14ac:dyDescent="0.35">
      <c r="A53" s="912"/>
      <c r="B53" s="838"/>
      <c r="C53" s="699" t="s">
        <v>20</v>
      </c>
      <c r="D53" s="671">
        <v>161.15</v>
      </c>
      <c r="E53" s="671">
        <v>161.15</v>
      </c>
      <c r="F53" s="129"/>
      <c r="G53" s="146"/>
      <c r="H53" s="147"/>
      <c r="I53" s="688"/>
      <c r="J53" s="688"/>
      <c r="K53" s="688"/>
      <c r="L53" s="692"/>
      <c r="M53" s="300" t="s">
        <v>14</v>
      </c>
      <c r="N53" s="328"/>
      <c r="O53" s="328"/>
      <c r="P53" s="329" t="s">
        <v>167</v>
      </c>
      <c r="R53" s="317"/>
      <c r="S53" s="317"/>
      <c r="T53" s="317"/>
      <c r="U53" s="317"/>
      <c r="V53" s="317"/>
      <c r="W53" s="317"/>
      <c r="X53" s="317"/>
    </row>
    <row r="54" spans="1:28" ht="47.25" customHeight="1" thickBot="1" x14ac:dyDescent="0.35">
      <c r="A54" s="912" t="s">
        <v>173</v>
      </c>
      <c r="B54" s="848" t="s">
        <v>174</v>
      </c>
      <c r="C54" s="670" t="s">
        <v>13</v>
      </c>
      <c r="D54" s="670">
        <f>D55</f>
        <v>0</v>
      </c>
      <c r="E54" s="670">
        <f>E55</f>
        <v>0</v>
      </c>
      <c r="F54" s="129"/>
      <c r="G54" s="158"/>
      <c r="H54" s="147">
        <f>I54+J54+K54</f>
        <v>30</v>
      </c>
      <c r="I54" s="131">
        <f>IF(G54=100,25,IF((G54&gt;90)*(G54&lt;100),0,IF((G54&gt;70)*(G54&lt;90),-10,-25)))</f>
        <v>-25</v>
      </c>
      <c r="J54" s="160">
        <f>IF((F54&gt;0)*(F54&lt;5),10,0)</f>
        <v>0</v>
      </c>
      <c r="K54" s="160">
        <f t="shared" si="17"/>
        <v>55</v>
      </c>
      <c r="L54" s="144">
        <f>IF(SUM(N54:P54)=SUM(N55:P55),1,IF(SUM(N54:P54)&lt;SUM(N55:P55),1,2))</f>
        <v>1</v>
      </c>
      <c r="M54" s="310" t="s">
        <v>19</v>
      </c>
      <c r="N54" s="463"/>
      <c r="O54" s="666"/>
      <c r="P54" s="666">
        <v>28</v>
      </c>
      <c r="R54" s="317"/>
      <c r="S54" s="317"/>
      <c r="T54" s="317"/>
      <c r="U54" s="317"/>
      <c r="V54" s="317"/>
      <c r="W54" s="317"/>
      <c r="X54" s="317"/>
    </row>
    <row r="55" spans="1:28" ht="87.75" customHeight="1" thickBot="1" x14ac:dyDescent="0.35">
      <c r="A55" s="912"/>
      <c r="B55" s="848"/>
      <c r="C55" s="670" t="s">
        <v>18</v>
      </c>
      <c r="D55" s="689">
        <v>0</v>
      </c>
      <c r="E55" s="689">
        <v>0</v>
      </c>
      <c r="F55" s="129"/>
      <c r="G55" s="158"/>
      <c r="H55" s="147"/>
      <c r="I55" s="131"/>
      <c r="J55" s="160"/>
      <c r="K55" s="160"/>
      <c r="L55" s="126"/>
      <c r="M55" s="311" t="s">
        <v>21</v>
      </c>
      <c r="N55" s="324"/>
      <c r="O55" s="667"/>
      <c r="P55" s="725">
        <v>37</v>
      </c>
      <c r="Q55" s="724"/>
      <c r="R55" s="317"/>
      <c r="S55" s="317"/>
      <c r="T55" s="317"/>
      <c r="U55" s="317"/>
      <c r="V55" s="317"/>
      <c r="W55" s="317"/>
      <c r="X55" s="317"/>
    </row>
    <row r="56" spans="1:28" ht="77.400000000000006" customHeight="1" thickBot="1" x14ac:dyDescent="0.35">
      <c r="A56" s="912" t="s">
        <v>175</v>
      </c>
      <c r="B56" s="829" t="s">
        <v>176</v>
      </c>
      <c r="C56" s="149" t="s">
        <v>13</v>
      </c>
      <c r="D56" s="149">
        <f>D57</f>
        <v>74</v>
      </c>
      <c r="E56" s="149">
        <f>E57</f>
        <v>74</v>
      </c>
      <c r="F56" s="129">
        <f t="shared" si="3"/>
        <v>1</v>
      </c>
      <c r="G56" s="158">
        <f>E56/D56*100</f>
        <v>100</v>
      </c>
      <c r="H56" s="147">
        <f>I56+J56+K56</f>
        <v>90</v>
      </c>
      <c r="I56" s="131">
        <f>IF(G56=100,25,IF((G56&gt;90)*(G56&lt;100),0,IF((G56&gt;70)*(G56&lt;90),-10,-25)))</f>
        <v>25</v>
      </c>
      <c r="J56" s="160">
        <f>IF((F56&gt;0)*(F56&lt;5),10,0)</f>
        <v>10</v>
      </c>
      <c r="K56" s="160">
        <f t="shared" si="17"/>
        <v>55</v>
      </c>
      <c r="L56" s="126">
        <f t="shared" ref="L56" si="22">IF(SUM(M57:Y57)=SUM(M58:Y58),1,IF(SUM(M57:Y57)&lt;SUM(M58:Y58),1,2))</f>
        <v>1</v>
      </c>
      <c r="M56" s="286" t="s">
        <v>14</v>
      </c>
      <c r="N56" s="299" t="s">
        <v>165</v>
      </c>
      <c r="O56" s="299" t="s">
        <v>166</v>
      </c>
      <c r="P56" s="299" t="s">
        <v>167</v>
      </c>
      <c r="R56" s="691"/>
      <c r="S56" s="317"/>
      <c r="T56" s="317"/>
      <c r="U56" s="317"/>
      <c r="V56" s="317"/>
      <c r="W56" s="317"/>
      <c r="X56" s="317"/>
    </row>
    <row r="57" spans="1:28" ht="50.25" customHeight="1" x14ac:dyDescent="0.3">
      <c r="A57" s="912"/>
      <c r="B57" s="829"/>
      <c r="C57" s="149" t="s">
        <v>18</v>
      </c>
      <c r="D57" s="150">
        <v>74</v>
      </c>
      <c r="E57" s="150">
        <v>74</v>
      </c>
      <c r="F57" s="129"/>
      <c r="G57" s="158"/>
      <c r="H57" s="147"/>
      <c r="I57" s="131"/>
      <c r="J57" s="160"/>
      <c r="K57" s="160">
        <f t="shared" si="17"/>
        <v>10</v>
      </c>
      <c r="L57" s="132"/>
      <c r="M57" s="310" t="s">
        <v>19</v>
      </c>
      <c r="N57" s="463">
        <v>12</v>
      </c>
      <c r="O57" s="666">
        <v>2</v>
      </c>
      <c r="P57" s="666">
        <v>28</v>
      </c>
      <c r="R57" s="690"/>
      <c r="S57" s="317"/>
      <c r="T57" s="317"/>
      <c r="U57" s="317"/>
      <c r="V57" s="317"/>
      <c r="W57" s="317"/>
      <c r="X57" s="317"/>
    </row>
    <row r="58" spans="1:28" ht="55.5" customHeight="1" thickBot="1" x14ac:dyDescent="0.35">
      <c r="A58" s="916"/>
      <c r="B58" s="830"/>
      <c r="C58" s="151"/>
      <c r="D58" s="151"/>
      <c r="E58" s="151"/>
      <c r="F58" s="152"/>
      <c r="G58" s="176"/>
      <c r="H58" s="177"/>
      <c r="I58" s="155"/>
      <c r="J58" s="178"/>
      <c r="K58" s="178">
        <f t="shared" si="17"/>
        <v>10</v>
      </c>
      <c r="L58" s="157"/>
      <c r="M58" s="311" t="s">
        <v>21</v>
      </c>
      <c r="N58" s="324">
        <v>12</v>
      </c>
      <c r="O58" s="667">
        <v>2</v>
      </c>
      <c r="P58" s="667">
        <v>37</v>
      </c>
      <c r="R58" s="690"/>
      <c r="S58" s="317"/>
      <c r="T58" s="317"/>
      <c r="U58" s="317"/>
      <c r="V58" s="317"/>
      <c r="W58" s="317"/>
      <c r="X58" s="317"/>
    </row>
    <row r="59" spans="1:28" ht="106.95" customHeight="1" x14ac:dyDescent="0.3">
      <c r="A59" s="896">
        <v>4</v>
      </c>
      <c r="B59" s="866" t="s">
        <v>177</v>
      </c>
      <c r="C59" s="122" t="s">
        <v>13</v>
      </c>
      <c r="D59" s="469">
        <f>D64+D67+D70+D74+D77+D81+D86+D89+D91+D93</f>
        <v>179050.2</v>
      </c>
      <c r="E59" s="469">
        <f>E64+E67+E70+E74+E77+E81+E86+E89+E91+E93</f>
        <v>177867.30000000002</v>
      </c>
      <c r="F59" s="124">
        <f>(D59-E59)/D59*100</f>
        <v>0.66065271080400589</v>
      </c>
      <c r="G59" s="124">
        <v>100</v>
      </c>
      <c r="H59" s="205">
        <f>(H64*E64+H67*E67+H70*E70+H77*E77+H81*E81+H86*E86+H89*E89+H91*E91+E93*H93)/E59</f>
        <v>61.64961462843366</v>
      </c>
      <c r="I59" s="131">
        <f t="shared" ref="I59" si="23">IF(G59=100,25,IF((G59&gt;90)*(G59&lt;100),0,IF((G59&gt;70)*(G59&lt;90),-10,-25)))</f>
        <v>25</v>
      </c>
      <c r="J59" s="148">
        <f t="shared" ref="J59" si="24">IF((F59&gt;0)*(F59&lt;5),10,0)</f>
        <v>10</v>
      </c>
      <c r="K59" s="148">
        <f t="shared" si="17"/>
        <v>55</v>
      </c>
      <c r="L59" s="179">
        <f>IF(SUM(M60:Y60)=SUM(M61:Y61),1,IF(SUM(M60:Y60)&lt;SUM(M61:Y61),1,2))</f>
        <v>1</v>
      </c>
      <c r="M59" s="332" t="s">
        <v>14</v>
      </c>
      <c r="N59" s="333" t="s">
        <v>381</v>
      </c>
      <c r="O59" s="334" t="s">
        <v>382</v>
      </c>
      <c r="P59" s="334" t="s">
        <v>383</v>
      </c>
      <c r="Q59" s="854" t="s">
        <v>380</v>
      </c>
      <c r="R59" s="855"/>
      <c r="S59" s="317"/>
      <c r="T59" s="317"/>
      <c r="U59" s="317"/>
      <c r="V59" s="317"/>
      <c r="W59" s="317"/>
      <c r="X59" s="317"/>
    </row>
    <row r="60" spans="1:28" ht="16.8" x14ac:dyDescent="0.3">
      <c r="A60" s="897"/>
      <c r="B60" s="867"/>
      <c r="C60" s="127" t="s">
        <v>18</v>
      </c>
      <c r="D60" s="629">
        <f>D65+D68+D71+D75+D78+D82+D87+D90+D92+D94</f>
        <v>66218.400000000009</v>
      </c>
      <c r="E60" s="629">
        <f>E65+E68+E71+E75+E78+E82+E87+E90+E92</f>
        <v>65989</v>
      </c>
      <c r="F60" s="129"/>
      <c r="G60" s="129"/>
      <c r="H60" s="130"/>
      <c r="I60" s="142"/>
      <c r="J60" s="148"/>
      <c r="K60" s="148"/>
      <c r="L60" s="180"/>
      <c r="M60" s="335" t="s">
        <v>19</v>
      </c>
      <c r="N60" s="543">
        <v>67.8</v>
      </c>
      <c r="O60" s="324">
        <v>94</v>
      </c>
      <c r="P60" s="529">
        <v>92</v>
      </c>
      <c r="Q60" s="856">
        <v>75</v>
      </c>
      <c r="R60" s="857"/>
      <c r="S60" s="317"/>
      <c r="T60" s="317"/>
      <c r="U60" s="317"/>
      <c r="V60" s="317"/>
      <c r="W60" s="317"/>
      <c r="X60" s="317"/>
    </row>
    <row r="61" spans="1:28" ht="31.8" thickBot="1" x14ac:dyDescent="0.35">
      <c r="A61" s="897"/>
      <c r="B61" s="867"/>
      <c r="C61" s="127" t="s">
        <v>20</v>
      </c>
      <c r="D61" s="629">
        <f>D66+D69+D72+D76+D79+D83+D88</f>
        <v>97635.900000000009</v>
      </c>
      <c r="E61" s="629">
        <f>E66+E69+E72+E76+E79+E83+E88</f>
        <v>97543.599999999991</v>
      </c>
      <c r="F61" s="129"/>
      <c r="G61" s="129"/>
      <c r="H61" s="130"/>
      <c r="I61" s="142"/>
      <c r="J61" s="148"/>
      <c r="K61" s="148"/>
      <c r="L61" s="180"/>
      <c r="M61" s="335" t="s">
        <v>21</v>
      </c>
      <c r="N61" s="890">
        <v>95.6</v>
      </c>
      <c r="O61" s="324">
        <v>82</v>
      </c>
      <c r="P61" s="544">
        <v>92</v>
      </c>
      <c r="Q61" s="891">
        <v>98.6</v>
      </c>
      <c r="R61" s="892"/>
      <c r="S61" s="317"/>
      <c r="T61" s="317"/>
      <c r="U61" s="317"/>
      <c r="V61" s="317"/>
      <c r="W61" s="317"/>
      <c r="X61" s="317"/>
    </row>
    <row r="62" spans="1:28" ht="31.2" x14ac:dyDescent="0.3">
      <c r="A62" s="897"/>
      <c r="B62" s="867"/>
      <c r="C62" s="127" t="s">
        <v>68</v>
      </c>
      <c r="D62" s="629">
        <f>D73+D84</f>
        <v>11961.6</v>
      </c>
      <c r="E62" s="629">
        <f>E73+E84</f>
        <v>10966.6</v>
      </c>
      <c r="F62" s="192"/>
      <c r="G62" s="192"/>
      <c r="H62" s="130"/>
      <c r="I62" s="142"/>
      <c r="J62" s="148"/>
      <c r="K62" s="148"/>
      <c r="L62" s="132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</row>
    <row r="63" spans="1:28" ht="66.599999999999994" thickBot="1" x14ac:dyDescent="0.35">
      <c r="A63" s="897"/>
      <c r="B63" s="868"/>
      <c r="C63" s="133" t="s">
        <v>179</v>
      </c>
      <c r="D63" s="630">
        <f>D80+D85</f>
        <v>2962</v>
      </c>
      <c r="E63" s="630">
        <f>E80+E85+E95</f>
        <v>3234.3</v>
      </c>
      <c r="F63" s="134"/>
      <c r="G63" s="134"/>
      <c r="H63" s="135"/>
      <c r="I63" s="142"/>
      <c r="J63" s="143"/>
      <c r="K63" s="143"/>
      <c r="L63" s="137"/>
      <c r="M63" s="284" t="s">
        <v>14</v>
      </c>
      <c r="N63" s="307" t="s">
        <v>442</v>
      </c>
      <c r="O63" s="307" t="s">
        <v>443</v>
      </c>
      <c r="P63" s="307" t="s">
        <v>385</v>
      </c>
      <c r="Q63" s="307" t="s">
        <v>386</v>
      </c>
      <c r="R63" s="317"/>
      <c r="S63" s="317"/>
      <c r="T63" s="317"/>
      <c r="U63" s="317"/>
      <c r="V63" s="317"/>
      <c r="W63" s="317"/>
      <c r="X63" s="317"/>
    </row>
    <row r="64" spans="1:28" ht="39" customHeight="1" x14ac:dyDescent="0.3">
      <c r="A64" s="915" t="s">
        <v>45</v>
      </c>
      <c r="B64" s="837" t="s">
        <v>180</v>
      </c>
      <c r="C64" s="181" t="s">
        <v>13</v>
      </c>
      <c r="D64" s="182">
        <f>D65+D66</f>
        <v>99.3</v>
      </c>
      <c r="E64" s="182">
        <f>E65+E66</f>
        <v>99.3</v>
      </c>
      <c r="F64" s="139">
        <f t="shared" si="3"/>
        <v>1</v>
      </c>
      <c r="G64" s="140">
        <f t="shared" ref="G64" si="25">E64/D64*100</f>
        <v>100</v>
      </c>
      <c r="H64" s="141">
        <f>I64+J64+K64</f>
        <v>90</v>
      </c>
      <c r="I64" s="142">
        <f>IF(G64=100,25,IF((G64&gt;90)*(G64&lt;100),0,IF((G64&gt;70)*(G64&lt;90),-10,-25)))</f>
        <v>25</v>
      </c>
      <c r="J64" s="143">
        <f>IF((F64&gt;0)*(F64&lt;5),10,0)</f>
        <v>10</v>
      </c>
      <c r="K64" s="143">
        <f t="shared" si="17"/>
        <v>55</v>
      </c>
      <c r="L64" s="144">
        <f>IF(SUM(N64:Q64)=SUM(N65:Q65),1,IF(SUM(N64:Q64)&lt;SUM(N65:Q65),1,2))</f>
        <v>1</v>
      </c>
      <c r="M64" s="312" t="s">
        <v>19</v>
      </c>
      <c r="N64" s="529">
        <v>73</v>
      </c>
      <c r="O64" s="324">
        <v>55</v>
      </c>
      <c r="P64" s="529">
        <v>105</v>
      </c>
      <c r="Q64" s="529">
        <v>1000</v>
      </c>
      <c r="R64" s="336"/>
      <c r="S64" s="336"/>
      <c r="T64" s="336"/>
      <c r="U64" s="336"/>
      <c r="V64" s="336"/>
      <c r="W64" s="336"/>
      <c r="X64" s="336"/>
      <c r="Y64" s="58"/>
      <c r="Z64" s="58"/>
      <c r="AA64" s="58"/>
      <c r="AB64" s="58"/>
    </row>
    <row r="65" spans="1:28" ht="17.399999999999999" thickBot="1" x14ac:dyDescent="0.35">
      <c r="A65" s="912"/>
      <c r="B65" s="838"/>
      <c r="C65" s="183" t="s">
        <v>18</v>
      </c>
      <c r="D65" s="184">
        <v>99.3</v>
      </c>
      <c r="E65" s="184">
        <v>99.3</v>
      </c>
      <c r="F65" s="129"/>
      <c r="G65" s="146"/>
      <c r="H65" s="147"/>
      <c r="I65" s="131"/>
      <c r="J65" s="148"/>
      <c r="K65" s="148"/>
      <c r="L65" s="132"/>
      <c r="M65" s="313" t="s">
        <v>21</v>
      </c>
      <c r="N65" s="541">
        <v>73</v>
      </c>
      <c r="O65" s="324">
        <v>55</v>
      </c>
      <c r="P65" s="529">
        <v>105</v>
      </c>
      <c r="Q65" s="529">
        <v>1000</v>
      </c>
      <c r="R65" s="336"/>
      <c r="S65" s="336"/>
      <c r="T65" s="336"/>
      <c r="U65" s="336"/>
      <c r="V65" s="336"/>
      <c r="W65" s="336"/>
      <c r="X65" s="336"/>
      <c r="Y65" s="58"/>
      <c r="Z65" s="58"/>
      <c r="AA65" s="58"/>
      <c r="AB65" s="58"/>
    </row>
    <row r="66" spans="1:28" ht="76.2" customHeight="1" thickBot="1" x14ac:dyDescent="0.35">
      <c r="A66" s="912"/>
      <c r="B66" s="838"/>
      <c r="C66" s="183" t="s">
        <v>20</v>
      </c>
      <c r="D66" s="185">
        <v>0</v>
      </c>
      <c r="E66" s="185">
        <v>0</v>
      </c>
      <c r="F66" s="129"/>
      <c r="G66" s="146"/>
      <c r="H66" s="147"/>
      <c r="I66" s="131"/>
      <c r="J66" s="148"/>
      <c r="K66" s="148"/>
      <c r="L66" s="132"/>
      <c r="M66" s="300" t="s">
        <v>14</v>
      </c>
      <c r="N66" s="299" t="s">
        <v>395</v>
      </c>
      <c r="O66" s="317"/>
      <c r="P66" s="317"/>
      <c r="Q66" s="336"/>
      <c r="R66" s="336"/>
      <c r="S66" s="336"/>
      <c r="T66" s="336"/>
      <c r="U66" s="336"/>
      <c r="V66" s="336"/>
      <c r="W66" s="336"/>
      <c r="X66" s="336"/>
      <c r="Y66" s="58"/>
      <c r="Z66" s="58"/>
      <c r="AA66" s="58"/>
      <c r="AB66" s="58"/>
    </row>
    <row r="67" spans="1:28" ht="42.75" customHeight="1" x14ac:dyDescent="0.3">
      <c r="A67" s="912" t="s">
        <v>181</v>
      </c>
      <c r="B67" s="838" t="s">
        <v>182</v>
      </c>
      <c r="C67" s="183" t="s">
        <v>13</v>
      </c>
      <c r="D67" s="183">
        <f>D68+D69</f>
        <v>360.3</v>
      </c>
      <c r="E67" s="183">
        <f>E68+E69</f>
        <v>360.3</v>
      </c>
      <c r="F67" s="129">
        <f t="shared" si="3"/>
        <v>1</v>
      </c>
      <c r="G67" s="146">
        <f>E67/D67*100</f>
        <v>100</v>
      </c>
      <c r="H67" s="147">
        <f>I67+J67+K67</f>
        <v>90</v>
      </c>
      <c r="I67" s="131">
        <f>IF(G67=100,25,IF((G67&gt;90)*(G67&lt;100),0,IF((G67&gt;70)*(G67&lt;90),-10,-25)))</f>
        <v>25</v>
      </c>
      <c r="J67" s="148">
        <f>IF((F67&gt;0)*(F67&lt;5),10,0)</f>
        <v>10</v>
      </c>
      <c r="K67" s="148">
        <f t="shared" si="17"/>
        <v>55</v>
      </c>
      <c r="L67" s="132">
        <f>IF(SUM(N67)=SUM(N68),1,2)</f>
        <v>1</v>
      </c>
      <c r="M67" s="314" t="s">
        <v>19</v>
      </c>
      <c r="N67" s="545">
        <v>11</v>
      </c>
      <c r="O67" s="317"/>
      <c r="P67" s="317"/>
      <c r="Q67" s="336"/>
      <c r="R67" s="317"/>
      <c r="S67" s="317"/>
      <c r="T67" s="317"/>
      <c r="U67" s="317"/>
      <c r="V67" s="317"/>
      <c r="W67" s="317"/>
      <c r="X67" s="317"/>
    </row>
    <row r="68" spans="1:28" ht="17.399999999999999" thickBot="1" x14ac:dyDescent="0.35">
      <c r="A68" s="912"/>
      <c r="B68" s="838"/>
      <c r="C68" s="183" t="s">
        <v>18</v>
      </c>
      <c r="D68" s="183">
        <v>217.8</v>
      </c>
      <c r="E68" s="246">
        <v>217.8</v>
      </c>
      <c r="F68" s="129"/>
      <c r="G68" s="146"/>
      <c r="H68" s="147"/>
      <c r="I68" s="131"/>
      <c r="J68" s="148"/>
      <c r="K68" s="148"/>
      <c r="L68" s="132"/>
      <c r="M68" s="315" t="s">
        <v>21</v>
      </c>
      <c r="N68" s="545">
        <v>11</v>
      </c>
      <c r="O68" s="317"/>
      <c r="P68" s="317"/>
      <c r="Q68" s="317"/>
      <c r="R68" s="317"/>
      <c r="S68" s="317"/>
      <c r="T68" s="317"/>
      <c r="U68" s="317"/>
      <c r="V68" s="317"/>
      <c r="W68" s="317"/>
      <c r="X68" s="317"/>
    </row>
    <row r="69" spans="1:28" ht="142.80000000000001" x14ac:dyDescent="0.3">
      <c r="A69" s="912"/>
      <c r="B69" s="838"/>
      <c r="C69" s="183" t="s">
        <v>20</v>
      </c>
      <c r="D69" s="183">
        <v>142.5</v>
      </c>
      <c r="E69" s="246">
        <v>142.5</v>
      </c>
      <c r="F69" s="129"/>
      <c r="G69" s="146"/>
      <c r="H69" s="147"/>
      <c r="I69" s="131"/>
      <c r="J69" s="148"/>
      <c r="K69" s="148"/>
      <c r="L69" s="132"/>
      <c r="M69" s="316" t="s">
        <v>14</v>
      </c>
      <c r="N69" s="308" t="s">
        <v>387</v>
      </c>
      <c r="O69" s="307" t="s">
        <v>388</v>
      </c>
      <c r="P69" s="307" t="s">
        <v>389</v>
      </c>
      <c r="Q69" s="645" t="s">
        <v>484</v>
      </c>
      <c r="R69" s="317"/>
      <c r="S69" s="317"/>
      <c r="T69" s="317"/>
      <c r="U69" s="317"/>
      <c r="V69" s="317"/>
      <c r="W69" s="317"/>
      <c r="X69" s="317"/>
    </row>
    <row r="70" spans="1:28" ht="38.25" customHeight="1" x14ac:dyDescent="0.3">
      <c r="A70" s="912" t="s">
        <v>183</v>
      </c>
      <c r="B70" s="838" t="s">
        <v>444</v>
      </c>
      <c r="C70" s="183" t="s">
        <v>13</v>
      </c>
      <c r="D70" s="183">
        <f>D71+D72+D73</f>
        <v>325.7</v>
      </c>
      <c r="E70" s="183">
        <f>E71+E72+E73</f>
        <v>325.7</v>
      </c>
      <c r="F70" s="129">
        <f t="shared" si="3"/>
        <v>1</v>
      </c>
      <c r="G70" s="146">
        <f>E70/D70*100</f>
        <v>100</v>
      </c>
      <c r="H70" s="147">
        <f>I70+J70+K70</f>
        <v>90</v>
      </c>
      <c r="I70" s="131">
        <f>IF(G70=100,25,IF((G70&gt;90)*(G70&lt;100),0,IF((G70&gt;70)*(G70&lt;90),-10,-25)))</f>
        <v>25</v>
      </c>
      <c r="J70" s="148">
        <f>IF((F70&gt;0)*(F70&lt;5),10,0)</f>
        <v>10</v>
      </c>
      <c r="K70" s="148">
        <f t="shared" ref="K70:K135" si="26">IF(L70=1,55,10)</f>
        <v>55</v>
      </c>
      <c r="L70" s="132">
        <f>IF(SUM(N70:P70)=SUM(N71:P71),1,IF(SUM(N70:P70)&lt;SUM(N71:P71),1,2))</f>
        <v>1</v>
      </c>
      <c r="M70" s="312" t="s">
        <v>19</v>
      </c>
      <c r="N70" s="529">
        <v>85</v>
      </c>
      <c r="O70" s="324">
        <v>22</v>
      </c>
      <c r="P70" s="529">
        <v>19</v>
      </c>
      <c r="Q70" s="637">
        <v>150</v>
      </c>
      <c r="R70" s="317"/>
      <c r="S70" s="317"/>
      <c r="T70" s="317"/>
      <c r="U70" s="317"/>
      <c r="V70" s="317"/>
      <c r="W70" s="317"/>
      <c r="X70" s="317"/>
    </row>
    <row r="71" spans="1:28" ht="16.8" x14ac:dyDescent="0.3">
      <c r="A71" s="912"/>
      <c r="B71" s="838"/>
      <c r="C71" s="183" t="s">
        <v>18</v>
      </c>
      <c r="D71" s="183">
        <v>3.3</v>
      </c>
      <c r="E71" s="183">
        <v>3.3</v>
      </c>
      <c r="F71" s="129"/>
      <c r="G71" s="146"/>
      <c r="H71" s="147"/>
      <c r="I71" s="131"/>
      <c r="J71" s="148"/>
      <c r="K71" s="148"/>
      <c r="L71" s="132"/>
      <c r="M71" s="312" t="s">
        <v>21</v>
      </c>
      <c r="N71" s="637">
        <v>85</v>
      </c>
      <c r="O71" s="324">
        <v>22</v>
      </c>
      <c r="P71" s="529">
        <v>19</v>
      </c>
      <c r="Q71" s="637">
        <v>150</v>
      </c>
      <c r="R71" s="317"/>
      <c r="S71" s="317"/>
      <c r="T71" s="317"/>
      <c r="U71" s="317"/>
      <c r="V71" s="317"/>
      <c r="W71" s="317"/>
      <c r="X71" s="317"/>
    </row>
    <row r="72" spans="1:28" ht="16.8" x14ac:dyDescent="0.3">
      <c r="A72" s="912"/>
      <c r="B72" s="838"/>
      <c r="C72" s="183" t="s">
        <v>20</v>
      </c>
      <c r="D72" s="183">
        <v>322.39999999999998</v>
      </c>
      <c r="E72" s="183">
        <v>322.39999999999998</v>
      </c>
      <c r="F72" s="129"/>
      <c r="G72" s="146"/>
      <c r="H72" s="147"/>
      <c r="I72" s="131"/>
      <c r="J72" s="148"/>
      <c r="K72" s="148"/>
      <c r="L72" s="132"/>
      <c r="M72" s="317"/>
      <c r="N72" s="317"/>
      <c r="O72" s="317"/>
      <c r="P72" s="317"/>
      <c r="Q72" s="337"/>
      <c r="R72" s="317"/>
      <c r="S72" s="317"/>
      <c r="T72" s="317"/>
      <c r="U72" s="317"/>
      <c r="V72" s="317"/>
      <c r="W72" s="317"/>
      <c r="X72" s="317"/>
    </row>
    <row r="73" spans="1:28" ht="39.6" x14ac:dyDescent="0.3">
      <c r="A73" s="912"/>
      <c r="B73" s="838"/>
      <c r="C73" s="183" t="s">
        <v>68</v>
      </c>
      <c r="D73" s="186">
        <v>0</v>
      </c>
      <c r="E73" s="186">
        <v>0</v>
      </c>
      <c r="F73" s="129"/>
      <c r="G73" s="146"/>
      <c r="H73" s="147"/>
      <c r="I73" s="131"/>
      <c r="J73" s="148"/>
      <c r="K73" s="148"/>
      <c r="L73" s="132"/>
      <c r="M73" s="284" t="s">
        <v>14</v>
      </c>
      <c r="N73" s="307" t="s">
        <v>390</v>
      </c>
      <c r="O73" s="307" t="s">
        <v>391</v>
      </c>
      <c r="P73" s="317"/>
      <c r="Q73" s="337"/>
      <c r="R73" s="317"/>
      <c r="S73" s="317"/>
      <c r="T73" s="317"/>
      <c r="U73" s="317"/>
      <c r="V73" s="317"/>
      <c r="W73" s="317"/>
      <c r="X73" s="317"/>
    </row>
    <row r="74" spans="1:28" ht="33.75" customHeight="1" x14ac:dyDescent="0.3">
      <c r="A74" s="912" t="s">
        <v>184</v>
      </c>
      <c r="B74" s="838"/>
      <c r="C74" s="589" t="s">
        <v>13</v>
      </c>
      <c r="D74" s="589">
        <f>D75+D76</f>
        <v>0</v>
      </c>
      <c r="E74" s="589">
        <f>E75+E76</f>
        <v>0</v>
      </c>
      <c r="F74" s="129"/>
      <c r="G74" s="146"/>
      <c r="H74" s="147"/>
      <c r="I74" s="131">
        <f>IF(G74=100,25,IF((G74&gt;90)*(G74&lt;100),0,IF((G74&gt;70)*(G74&lt;90),-10,-25)))</f>
        <v>-25</v>
      </c>
      <c r="J74" s="148">
        <f>IF((F74&gt;0)*(F74&lt;5),10,0)</f>
        <v>0</v>
      </c>
      <c r="K74" s="148">
        <f t="shared" si="26"/>
        <v>55</v>
      </c>
      <c r="L74" s="132">
        <f>IF(SUM(N74:O74)=SUM(N75:O75),1,2)</f>
        <v>1</v>
      </c>
      <c r="M74" s="312" t="s">
        <v>19</v>
      </c>
      <c r="N74" s="529">
        <v>92</v>
      </c>
      <c r="O74" s="324">
        <v>100</v>
      </c>
      <c r="P74" s="317"/>
      <c r="Q74" s="326"/>
      <c r="R74" s="317"/>
      <c r="S74" s="317"/>
      <c r="T74" s="317"/>
      <c r="U74" s="326"/>
      <c r="V74" s="317"/>
      <c r="W74" s="317"/>
      <c r="X74" s="317"/>
    </row>
    <row r="75" spans="1:28" ht="16.8" x14ac:dyDescent="0.3">
      <c r="A75" s="912"/>
      <c r="B75" s="838"/>
      <c r="C75" s="589" t="s">
        <v>18</v>
      </c>
      <c r="D75" s="589">
        <v>0</v>
      </c>
      <c r="E75" s="589">
        <v>0</v>
      </c>
      <c r="F75" s="129"/>
      <c r="G75" s="146"/>
      <c r="H75" s="147"/>
      <c r="I75" s="131"/>
      <c r="J75" s="148"/>
      <c r="K75" s="148"/>
      <c r="L75" s="132"/>
      <c r="M75" s="312" t="s">
        <v>21</v>
      </c>
      <c r="N75" s="529">
        <v>92</v>
      </c>
      <c r="O75" s="324">
        <v>100</v>
      </c>
      <c r="P75" s="317"/>
      <c r="Q75" s="317"/>
      <c r="R75" s="317"/>
      <c r="S75" s="317"/>
      <c r="T75" s="317"/>
      <c r="U75" s="326"/>
      <c r="V75" s="317"/>
      <c r="W75" s="317"/>
      <c r="X75" s="317"/>
    </row>
    <row r="76" spans="1:28" ht="16.8" x14ac:dyDescent="0.3">
      <c r="A76" s="912"/>
      <c r="B76" s="838"/>
      <c r="C76" s="589" t="s">
        <v>20</v>
      </c>
      <c r="D76" s="589">
        <v>0</v>
      </c>
      <c r="E76" s="589">
        <v>0</v>
      </c>
      <c r="F76" s="129"/>
      <c r="G76" s="146"/>
      <c r="H76" s="147"/>
      <c r="I76" s="131"/>
      <c r="J76" s="148"/>
      <c r="K76" s="148"/>
      <c r="L76" s="132"/>
      <c r="M76" s="317"/>
      <c r="N76" s="317"/>
      <c r="O76" s="317"/>
      <c r="P76" s="317"/>
      <c r="Q76" s="317"/>
      <c r="R76" s="317"/>
      <c r="S76" s="317"/>
      <c r="T76" s="317"/>
      <c r="U76" s="326"/>
      <c r="V76" s="317"/>
      <c r="W76" s="317"/>
      <c r="X76" s="317"/>
    </row>
    <row r="77" spans="1:28" ht="111" customHeight="1" x14ac:dyDescent="0.3">
      <c r="A77" s="912" t="s">
        <v>185</v>
      </c>
      <c r="B77" s="838" t="s">
        <v>186</v>
      </c>
      <c r="C77" s="183" t="s">
        <v>13</v>
      </c>
      <c r="D77" s="187">
        <f>D78+D79+D80</f>
        <v>54208</v>
      </c>
      <c r="E77" s="184">
        <f>E78+E79+E80</f>
        <v>54161</v>
      </c>
      <c r="F77" s="129">
        <f>(D77-E77)/D77*100</f>
        <v>8.6703069657615109E-2</v>
      </c>
      <c r="G77" s="146">
        <v>100</v>
      </c>
      <c r="H77" s="147">
        <f>J77+K77</f>
        <v>80</v>
      </c>
      <c r="I77" s="131">
        <f>IF(G77=100,25,IF((G77&gt;90)*(G77&lt;100),0,IF((G77&gt;70)*(G77&lt;90),-10,-25)))</f>
        <v>25</v>
      </c>
      <c r="J77" s="148">
        <f>IF((F77&gt;0)*(F77&lt;5),20,0)</f>
        <v>20</v>
      </c>
      <c r="K77" s="148">
        <f>IF(L77=1,60,30)</f>
        <v>60</v>
      </c>
      <c r="L77" s="132">
        <f>IF(SUM(N78:O78)=SUM(N79:O79),1,IF(SUM(N78:O78)&lt;SUM(N79:O79),1,2))</f>
        <v>1</v>
      </c>
      <c r="M77" s="284" t="s">
        <v>14</v>
      </c>
      <c r="N77" s="307" t="s">
        <v>178</v>
      </c>
      <c r="O77" s="645" t="s">
        <v>434</v>
      </c>
      <c r="P77" s="645" t="s">
        <v>435</v>
      </c>
      <c r="Q77" s="317"/>
      <c r="R77" s="317"/>
      <c r="S77" s="317"/>
      <c r="T77" s="317"/>
      <c r="U77" s="292"/>
      <c r="V77" s="317"/>
      <c r="W77" s="317"/>
      <c r="X77" s="317"/>
    </row>
    <row r="78" spans="1:28" ht="16.8" x14ac:dyDescent="0.3">
      <c r="A78" s="912"/>
      <c r="B78" s="838"/>
      <c r="C78" s="183" t="s">
        <v>18</v>
      </c>
      <c r="D78" s="188">
        <v>24637.5</v>
      </c>
      <c r="E78" s="627">
        <v>24615.4</v>
      </c>
      <c r="F78" s="146"/>
      <c r="G78" s="146"/>
      <c r="H78" s="147"/>
      <c r="I78" s="131"/>
      <c r="J78" s="148"/>
      <c r="K78" s="148"/>
      <c r="L78" s="132"/>
      <c r="M78" s="312" t="s">
        <v>19</v>
      </c>
      <c r="N78" s="529">
        <v>89</v>
      </c>
      <c r="O78" s="324">
        <v>100</v>
      </c>
      <c r="P78" s="324">
        <v>100</v>
      </c>
      <c r="Q78" s="317"/>
      <c r="R78" s="317"/>
      <c r="S78" s="317"/>
      <c r="T78" s="317"/>
      <c r="U78" s="337"/>
      <c r="V78" s="317"/>
      <c r="W78" s="317"/>
      <c r="X78" s="317"/>
    </row>
    <row r="79" spans="1:28" ht="18.75" customHeight="1" x14ac:dyDescent="0.3">
      <c r="A79" s="912"/>
      <c r="B79" s="838"/>
      <c r="C79" s="183" t="s">
        <v>20</v>
      </c>
      <c r="D79" s="188">
        <v>26948.400000000001</v>
      </c>
      <c r="E79" s="628">
        <v>26923.5</v>
      </c>
      <c r="F79" s="146"/>
      <c r="G79" s="146"/>
      <c r="H79" s="147"/>
      <c r="I79" s="131"/>
      <c r="J79" s="148"/>
      <c r="K79" s="148"/>
      <c r="L79" s="132"/>
      <c r="M79" s="312" t="s">
        <v>21</v>
      </c>
      <c r="N79" s="725">
        <v>95.6</v>
      </c>
      <c r="O79" s="324">
        <v>100</v>
      </c>
      <c r="P79" s="324">
        <v>100</v>
      </c>
      <c r="Q79" s="317"/>
      <c r="R79" s="317"/>
      <c r="S79" s="317"/>
      <c r="T79" s="317"/>
      <c r="U79" s="337"/>
      <c r="V79" s="317"/>
      <c r="W79" s="317"/>
      <c r="X79" s="317"/>
    </row>
    <row r="80" spans="1:28" ht="31.2" x14ac:dyDescent="0.3">
      <c r="A80" s="912"/>
      <c r="B80" s="838"/>
      <c r="C80" s="183" t="s">
        <v>187</v>
      </c>
      <c r="D80" s="188">
        <v>2622.1</v>
      </c>
      <c r="E80" s="628">
        <v>2622.1</v>
      </c>
      <c r="F80" s="146"/>
      <c r="G80" s="146"/>
      <c r="H80" s="147"/>
      <c r="I80" s="131"/>
      <c r="J80" s="148"/>
      <c r="K80" s="148"/>
      <c r="L80" s="132"/>
      <c r="M80" s="317"/>
      <c r="N80" s="295"/>
      <c r="O80" s="294"/>
      <c r="P80" s="317"/>
      <c r="Q80" s="317"/>
      <c r="R80" s="317"/>
      <c r="S80" s="317"/>
      <c r="T80" s="317"/>
      <c r="U80" s="326"/>
      <c r="V80" s="317"/>
      <c r="W80" s="317"/>
      <c r="X80" s="317"/>
    </row>
    <row r="81" spans="1:29" ht="148.94999999999999" customHeight="1" thickBot="1" x14ac:dyDescent="0.35">
      <c r="A81" s="912" t="s">
        <v>188</v>
      </c>
      <c r="B81" s="838" t="s">
        <v>189</v>
      </c>
      <c r="C81" s="183" t="s">
        <v>13</v>
      </c>
      <c r="D81" s="596">
        <f>D82+D83+D84+D85</f>
        <v>110398.5</v>
      </c>
      <c r="E81" s="596">
        <f>E82+E83+E84+E85</f>
        <v>109262.59999999999</v>
      </c>
      <c r="F81" s="129">
        <f>(D81-E81)/D77*100</f>
        <v>2.0954471664699099</v>
      </c>
      <c r="G81" s="146">
        <v>100</v>
      </c>
      <c r="H81" s="147">
        <f>J81+K81</f>
        <v>50</v>
      </c>
      <c r="I81" s="131">
        <f>IF(G81=100,25,IF((G81&gt;90)*(G81&lt;100),0,IF((G81&gt;70)*(G81&lt;90),-10,-25)))</f>
        <v>25</v>
      </c>
      <c r="J81" s="148">
        <f>IF((F81&gt;0)*(F81&lt;5),20,0)</f>
        <v>20</v>
      </c>
      <c r="K81" s="148">
        <f>IF(L81=1,60,30)</f>
        <v>30</v>
      </c>
      <c r="L81" s="132">
        <f>IF(SUM(N82:S82)=SUM(N83:S83),1,IF(SUM(N82:S82)&lt;SUM(N83:S83),1,2))</f>
        <v>2</v>
      </c>
      <c r="M81" s="303" t="s">
        <v>14</v>
      </c>
      <c r="N81" s="307" t="s">
        <v>190</v>
      </c>
      <c r="O81" s="307" t="s">
        <v>191</v>
      </c>
      <c r="P81" s="307" t="s">
        <v>192</v>
      </c>
      <c r="Q81" s="307" t="s">
        <v>384</v>
      </c>
      <c r="R81" s="307" t="s">
        <v>193</v>
      </c>
      <c r="S81" s="307" t="s">
        <v>194</v>
      </c>
      <c r="T81" s="307" t="s">
        <v>436</v>
      </c>
      <c r="U81" s="307" t="s">
        <v>485</v>
      </c>
      <c r="V81" s="307" t="s">
        <v>437</v>
      </c>
      <c r="W81" s="645" t="s">
        <v>438</v>
      </c>
      <c r="X81" s="645" t="s">
        <v>439</v>
      </c>
      <c r="Y81" s="307" t="s">
        <v>440</v>
      </c>
      <c r="Z81" s="307" t="s">
        <v>441</v>
      </c>
      <c r="AA81" s="357"/>
      <c r="AB81" s="357"/>
      <c r="AC81" s="357"/>
    </row>
    <row r="82" spans="1:29" ht="17.399999999999999" thickBot="1" x14ac:dyDescent="0.35">
      <c r="A82" s="912"/>
      <c r="B82" s="838"/>
      <c r="C82" s="183" t="s">
        <v>18</v>
      </c>
      <c r="D82" s="596">
        <v>28208.2</v>
      </c>
      <c r="E82" s="596">
        <v>28134.7</v>
      </c>
      <c r="F82" s="129"/>
      <c r="G82" s="146"/>
      <c r="H82" s="147"/>
      <c r="I82" s="131"/>
      <c r="J82" s="148"/>
      <c r="K82" s="148"/>
      <c r="L82" s="180"/>
      <c r="M82" s="319" t="s">
        <v>19</v>
      </c>
      <c r="N82" s="656">
        <v>100</v>
      </c>
      <c r="O82" s="529">
        <v>100</v>
      </c>
      <c r="P82" s="547">
        <v>11</v>
      </c>
      <c r="Q82" s="718">
        <v>100</v>
      </c>
      <c r="R82" s="718">
        <v>92</v>
      </c>
      <c r="S82" s="718">
        <v>100</v>
      </c>
      <c r="T82" s="718">
        <v>6</v>
      </c>
      <c r="U82" s="718">
        <v>100</v>
      </c>
      <c r="V82" s="718">
        <v>85</v>
      </c>
      <c r="W82" s="718">
        <v>100</v>
      </c>
      <c r="X82" s="718">
        <v>100</v>
      </c>
      <c r="Y82" s="718">
        <v>100</v>
      </c>
      <c r="Z82" s="637">
        <v>100</v>
      </c>
      <c r="AA82" s="358"/>
      <c r="AB82" s="358"/>
      <c r="AC82" s="358"/>
    </row>
    <row r="83" spans="1:29" ht="17.399999999999999" thickBot="1" x14ac:dyDescent="0.35">
      <c r="A83" s="912"/>
      <c r="B83" s="838"/>
      <c r="C83" s="183" t="s">
        <v>20</v>
      </c>
      <c r="D83" s="596">
        <v>69888.800000000003</v>
      </c>
      <c r="E83" s="596">
        <v>69821.399999999994</v>
      </c>
      <c r="F83" s="129"/>
      <c r="G83" s="146"/>
      <c r="H83" s="147"/>
      <c r="I83" s="131"/>
      <c r="J83" s="148"/>
      <c r="K83" s="148"/>
      <c r="L83" s="180"/>
      <c r="M83" s="319" t="s">
        <v>21</v>
      </c>
      <c r="N83" s="655">
        <v>100</v>
      </c>
      <c r="O83" s="541">
        <v>90</v>
      </c>
      <c r="P83" s="928">
        <v>13</v>
      </c>
      <c r="Q83" s="722">
        <v>100</v>
      </c>
      <c r="R83" s="718">
        <v>92</v>
      </c>
      <c r="S83" s="718">
        <v>100</v>
      </c>
      <c r="T83" s="725">
        <v>0</v>
      </c>
      <c r="U83" s="725">
        <v>89.1</v>
      </c>
      <c r="V83" s="718">
        <v>85</v>
      </c>
      <c r="W83" s="718">
        <v>100</v>
      </c>
      <c r="X83" s="718">
        <v>100</v>
      </c>
      <c r="Y83" s="718">
        <v>100</v>
      </c>
      <c r="Z83" s="637">
        <v>100</v>
      </c>
      <c r="AA83" s="358"/>
      <c r="AB83" s="358"/>
      <c r="AC83" s="358"/>
    </row>
    <row r="84" spans="1:29" ht="79.8" thickBot="1" x14ac:dyDescent="0.35">
      <c r="A84" s="912"/>
      <c r="B84" s="838"/>
      <c r="C84" s="183" t="s">
        <v>68</v>
      </c>
      <c r="D84" s="186">
        <v>11961.6</v>
      </c>
      <c r="E84" s="621">
        <v>10966.6</v>
      </c>
      <c r="F84" s="129"/>
      <c r="G84" s="146"/>
      <c r="H84" s="147"/>
      <c r="I84" s="131"/>
      <c r="J84" s="148"/>
      <c r="K84" s="148"/>
      <c r="L84" s="180"/>
      <c r="M84" s="300" t="s">
        <v>14</v>
      </c>
      <c r="N84" s="299" t="s">
        <v>195</v>
      </c>
      <c r="O84" s="299" t="s">
        <v>196</v>
      </c>
      <c r="P84" s="299" t="s">
        <v>446</v>
      </c>
      <c r="Q84" s="357"/>
      <c r="R84" s="357"/>
      <c r="S84" s="357"/>
      <c r="T84" s="357"/>
      <c r="U84" s="357"/>
      <c r="V84" s="357"/>
      <c r="W84" s="357"/>
      <c r="X84" s="357"/>
      <c r="Y84" s="357"/>
    </row>
    <row r="85" spans="1:29" ht="72" customHeight="1" thickBot="1" x14ac:dyDescent="0.35">
      <c r="A85" s="912"/>
      <c r="B85" s="838"/>
      <c r="C85" s="183" t="s">
        <v>179</v>
      </c>
      <c r="D85" s="183">
        <v>339.9</v>
      </c>
      <c r="E85" s="620">
        <v>339.9</v>
      </c>
      <c r="F85" s="129"/>
      <c r="G85" s="146"/>
      <c r="H85" s="147"/>
      <c r="I85" s="131"/>
      <c r="J85" s="148"/>
      <c r="K85" s="148"/>
      <c r="L85" s="180"/>
      <c r="M85" s="319" t="s">
        <v>19</v>
      </c>
      <c r="N85" s="654">
        <v>92</v>
      </c>
      <c r="O85" s="463">
        <v>26</v>
      </c>
      <c r="P85" s="638">
        <v>100</v>
      </c>
      <c r="Q85" s="358"/>
      <c r="R85" s="358"/>
      <c r="S85" s="358"/>
      <c r="T85" s="358"/>
      <c r="U85" s="358"/>
      <c r="V85" s="358"/>
      <c r="W85" s="358"/>
      <c r="X85" s="358"/>
      <c r="Y85" s="358"/>
    </row>
    <row r="86" spans="1:29" ht="32.25" customHeight="1" thickBot="1" x14ac:dyDescent="0.35">
      <c r="A86" s="912" t="s">
        <v>197</v>
      </c>
      <c r="B86" s="838" t="s">
        <v>198</v>
      </c>
      <c r="C86" s="183" t="s">
        <v>13</v>
      </c>
      <c r="D86" s="183">
        <f>D87+D88</f>
        <v>5019.7</v>
      </c>
      <c r="E86" s="183">
        <f>E87+E88</f>
        <v>5019.7</v>
      </c>
      <c r="F86" s="129">
        <f t="shared" ref="F86:F135" si="27">E86/D86*100%</f>
        <v>1</v>
      </c>
      <c r="G86" s="146">
        <f>E86/D86*100</f>
        <v>100</v>
      </c>
      <c r="H86" s="147">
        <f>J86+K86</f>
        <v>80</v>
      </c>
      <c r="I86" s="131">
        <f>IF(G86=100,25,IF((G86&gt;90)*(G86&lt;100),0,IF((G86&gt;70)*(G86&lt;90),-10,-25)))</f>
        <v>25</v>
      </c>
      <c r="J86" s="148">
        <f>IF((F86&gt;0)*(F86&lt;5),20,0)</f>
        <v>20</v>
      </c>
      <c r="K86" s="148">
        <f>IF(L86=1,60,30)</f>
        <v>60</v>
      </c>
      <c r="L86" s="132">
        <f>IF(SUM(N85:P85)=SUM(N86:P86),1,IF(SUM(N85:P85)&lt;SUM(N86:P86),1,2))</f>
        <v>1</v>
      </c>
      <c r="M86" s="319" t="s">
        <v>21</v>
      </c>
      <c r="N86" s="655">
        <v>92</v>
      </c>
      <c r="O86" s="537">
        <v>26</v>
      </c>
      <c r="P86" s="637">
        <v>100</v>
      </c>
      <c r="Q86" s="358"/>
      <c r="R86" s="358"/>
      <c r="S86" s="358"/>
      <c r="T86" s="358"/>
      <c r="U86" s="358"/>
      <c r="V86" s="358"/>
      <c r="W86" s="358"/>
      <c r="X86" s="358"/>
      <c r="Y86" s="358"/>
    </row>
    <row r="87" spans="1:29" ht="66.599999999999994" thickBot="1" x14ac:dyDescent="0.35">
      <c r="A87" s="912"/>
      <c r="B87" s="838"/>
      <c r="C87" s="183" t="s">
        <v>18</v>
      </c>
      <c r="D87" s="620">
        <v>4685.8999999999996</v>
      </c>
      <c r="E87" s="620">
        <v>4685.8999999999996</v>
      </c>
      <c r="F87" s="129"/>
      <c r="G87" s="146"/>
      <c r="H87" s="147"/>
      <c r="I87" s="131"/>
      <c r="J87" s="148"/>
      <c r="K87" s="148"/>
      <c r="L87" s="132"/>
      <c r="M87" s="300" t="s">
        <v>14</v>
      </c>
      <c r="N87" s="299" t="s">
        <v>447</v>
      </c>
      <c r="O87" s="299" t="s">
        <v>448</v>
      </c>
      <c r="P87" s="317"/>
      <c r="Q87" s="357"/>
      <c r="R87" s="317"/>
      <c r="S87" s="317"/>
      <c r="T87" s="317"/>
      <c r="U87" s="317"/>
      <c r="V87" s="317"/>
      <c r="W87" s="317"/>
      <c r="X87" s="317"/>
    </row>
    <row r="88" spans="1:29" ht="39.75" customHeight="1" thickBot="1" x14ac:dyDescent="0.35">
      <c r="A88" s="912"/>
      <c r="B88" s="838"/>
      <c r="C88" s="183" t="s">
        <v>20</v>
      </c>
      <c r="D88" s="620">
        <v>333.8</v>
      </c>
      <c r="E88" s="620">
        <v>333.8</v>
      </c>
      <c r="F88" s="129"/>
      <c r="G88" s="146"/>
      <c r="H88" s="147"/>
      <c r="I88" s="131"/>
      <c r="J88" s="148"/>
      <c r="K88" s="148"/>
      <c r="L88" s="132"/>
      <c r="M88" s="319" t="s">
        <v>19</v>
      </c>
      <c r="N88" s="654">
        <v>100</v>
      </c>
      <c r="O88" s="463">
        <v>0</v>
      </c>
      <c r="P88" s="337"/>
      <c r="Q88" s="358"/>
      <c r="R88" s="317"/>
      <c r="S88" s="317"/>
      <c r="T88" s="317"/>
      <c r="U88" s="317"/>
      <c r="V88" s="317"/>
      <c r="W88" s="317"/>
      <c r="X88" s="317"/>
    </row>
    <row r="89" spans="1:29" ht="45" customHeight="1" thickBot="1" x14ac:dyDescent="0.35">
      <c r="A89" s="912" t="s">
        <v>199</v>
      </c>
      <c r="B89" s="838" t="s">
        <v>200</v>
      </c>
      <c r="C89" s="183" t="s">
        <v>13</v>
      </c>
      <c r="D89" s="183">
        <f>D90</f>
        <v>5409.1</v>
      </c>
      <c r="E89" s="183">
        <f>E90</f>
        <v>5409.1</v>
      </c>
      <c r="F89" s="129">
        <f t="shared" si="27"/>
        <v>1</v>
      </c>
      <c r="G89" s="146">
        <f>E89/D89*100</f>
        <v>100</v>
      </c>
      <c r="H89" s="147">
        <f>J89+K89</f>
        <v>80</v>
      </c>
      <c r="I89" s="131">
        <f>IF(G89=100,25,IF((G89&gt;90)*(G89&lt;100),0,IF((G89&gt;70)*(G89&lt;90),-10,-25)))</f>
        <v>25</v>
      </c>
      <c r="J89" s="148">
        <f>IF((F89&gt;0)*(F89&lt;5),20,0)</f>
        <v>20</v>
      </c>
      <c r="K89" s="148">
        <f>IF(L89=1,60,30)</f>
        <v>60</v>
      </c>
      <c r="L89" s="132">
        <f>IF(SUM(N88:O88)=SUM(N89:O89),1,2)</f>
        <v>1</v>
      </c>
      <c r="M89" s="319" t="s">
        <v>21</v>
      </c>
      <c r="N89" s="655">
        <v>100</v>
      </c>
      <c r="O89" s="537">
        <v>0</v>
      </c>
      <c r="P89" s="337"/>
      <c r="Q89" s="358"/>
      <c r="R89" s="317"/>
      <c r="S89" s="317"/>
      <c r="T89" s="317"/>
      <c r="U89" s="317"/>
      <c r="V89" s="317"/>
      <c r="W89" s="317"/>
      <c r="X89" s="317"/>
    </row>
    <row r="90" spans="1:29" ht="88.5" customHeight="1" thickBot="1" x14ac:dyDescent="0.35">
      <c r="A90" s="912"/>
      <c r="B90" s="838"/>
      <c r="C90" s="183" t="s">
        <v>18</v>
      </c>
      <c r="D90" s="183">
        <v>5409.1</v>
      </c>
      <c r="E90" s="246">
        <v>5409.1</v>
      </c>
      <c r="F90" s="129"/>
      <c r="G90" s="146"/>
      <c r="H90" s="147"/>
      <c r="I90" s="131"/>
      <c r="J90" s="148"/>
      <c r="K90" s="148"/>
      <c r="L90" s="132"/>
      <c r="M90" s="300" t="s">
        <v>14</v>
      </c>
      <c r="N90" s="299" t="s">
        <v>201</v>
      </c>
      <c r="O90" s="299" t="s">
        <v>202</v>
      </c>
      <c r="P90" s="299" t="s">
        <v>203</v>
      </c>
      <c r="Q90" s="299" t="s">
        <v>449</v>
      </c>
      <c r="R90" s="317"/>
      <c r="S90" s="317"/>
      <c r="T90" s="317"/>
      <c r="U90" s="317"/>
      <c r="V90" s="317"/>
      <c r="W90" s="317"/>
      <c r="X90" s="317"/>
    </row>
    <row r="91" spans="1:29" ht="42.75" customHeight="1" thickBot="1" x14ac:dyDescent="0.35">
      <c r="A91" s="912" t="s">
        <v>204</v>
      </c>
      <c r="B91" s="838" t="s">
        <v>205</v>
      </c>
      <c r="C91" s="183" t="s">
        <v>13</v>
      </c>
      <c r="D91" s="183">
        <f>D92</f>
        <v>2823.5</v>
      </c>
      <c r="E91" s="183">
        <f>E92</f>
        <v>2823.5</v>
      </c>
      <c r="F91" s="129">
        <f t="shared" si="27"/>
        <v>1</v>
      </c>
      <c r="G91" s="146">
        <f>E91/D91*100</f>
        <v>100</v>
      </c>
      <c r="H91" s="147">
        <f>J91+K91</f>
        <v>80</v>
      </c>
      <c r="I91" s="131">
        <f>IF(G91=100,25,IF((G91&gt;90)*(G91&lt;100),0,IF((G91&gt;70)*(G91&lt;90),-10,-25)))</f>
        <v>25</v>
      </c>
      <c r="J91" s="148">
        <f>IF((F91&gt;0)*(F91&lt;5),20,0)</f>
        <v>20</v>
      </c>
      <c r="K91" s="148">
        <f>IF(L91=1,60,30)</f>
        <v>60</v>
      </c>
      <c r="L91" s="132">
        <f>IF(SUM(N91:Q91)=SUM(N92:Q92),1,IF(SUM(N91:Q91)&lt;SUM(N92:Q92),1,2))</f>
        <v>1</v>
      </c>
      <c r="M91" s="319" t="s">
        <v>19</v>
      </c>
      <c r="N91" s="654">
        <v>95</v>
      </c>
      <c r="O91" s="463">
        <v>34</v>
      </c>
      <c r="P91" s="638">
        <v>13</v>
      </c>
      <c r="Q91" s="638">
        <v>2.5</v>
      </c>
      <c r="R91" s="317"/>
      <c r="S91" s="317"/>
      <c r="T91" s="317"/>
      <c r="U91" s="317"/>
      <c r="V91" s="317"/>
      <c r="W91" s="317"/>
      <c r="X91" s="317"/>
    </row>
    <row r="92" spans="1:29" ht="55.5" customHeight="1" thickBot="1" x14ac:dyDescent="0.35">
      <c r="A92" s="913"/>
      <c r="B92" s="843"/>
      <c r="C92" s="189" t="s">
        <v>18</v>
      </c>
      <c r="D92" s="189">
        <v>2823.5</v>
      </c>
      <c r="E92" s="247">
        <v>2823.5</v>
      </c>
      <c r="F92" s="129"/>
      <c r="G92" s="146"/>
      <c r="H92" s="147"/>
      <c r="I92" s="131"/>
      <c r="J92" s="148"/>
      <c r="K92" s="148"/>
      <c r="L92" s="132"/>
      <c r="M92" s="319" t="s">
        <v>21</v>
      </c>
      <c r="N92" s="655">
        <v>95</v>
      </c>
      <c r="O92" s="537">
        <v>34</v>
      </c>
      <c r="P92" s="541">
        <v>13</v>
      </c>
      <c r="Q92" s="541">
        <v>2.5</v>
      </c>
      <c r="R92" s="317"/>
      <c r="S92" s="317"/>
      <c r="T92" s="317"/>
      <c r="U92" s="317"/>
      <c r="V92" s="317"/>
      <c r="W92" s="317"/>
      <c r="X92" s="317"/>
    </row>
    <row r="93" spans="1:29" ht="177" customHeight="1" thickBot="1" x14ac:dyDescent="0.35">
      <c r="A93" s="917" t="s">
        <v>206</v>
      </c>
      <c r="B93" s="843" t="s">
        <v>408</v>
      </c>
      <c r="C93" s="183" t="s">
        <v>13</v>
      </c>
      <c r="D93" s="183">
        <f>D94+D95</f>
        <v>406.1</v>
      </c>
      <c r="E93" s="183">
        <f>E94+E95</f>
        <v>406.1</v>
      </c>
      <c r="F93" s="129">
        <f t="shared" si="27"/>
        <v>1</v>
      </c>
      <c r="G93" s="146">
        <f t="shared" ref="G93" si="28">E93/D93*100</f>
        <v>100</v>
      </c>
      <c r="H93" s="147">
        <f>J93+K93+I93</f>
        <v>95</v>
      </c>
      <c r="I93" s="131">
        <f>IF(G93=100,25,IF((G93&gt;90)*(G93&lt;100),0,IF((G93&gt;70)*(G93&lt;90),-10,-25)))</f>
        <v>25</v>
      </c>
      <c r="J93" s="148">
        <f>IF((F93&gt;0)*(F93&lt;5),10,0)</f>
        <v>10</v>
      </c>
      <c r="K93" s="148">
        <f t="shared" ref="K93" si="29">IF(L93=1,60,30)</f>
        <v>60</v>
      </c>
      <c r="L93" s="132">
        <f>IF(SUM(N94:Q94)=SUM(N95:Q95),1,IF(SUM(N94:Q94)&lt;SUM(N95:Q95),1,2))</f>
        <v>1</v>
      </c>
      <c r="M93" s="300" t="s">
        <v>14</v>
      </c>
      <c r="N93" s="299" t="s">
        <v>450</v>
      </c>
      <c r="O93" s="299" t="s">
        <v>392</v>
      </c>
      <c r="P93" s="299" t="s">
        <v>393</v>
      </c>
      <c r="Q93" s="299" t="s">
        <v>394</v>
      </c>
      <c r="R93" s="299" t="s">
        <v>486</v>
      </c>
      <c r="S93" s="317"/>
      <c r="T93" s="317"/>
      <c r="U93" s="317"/>
      <c r="V93" s="317"/>
      <c r="W93" s="317"/>
      <c r="X93" s="317"/>
    </row>
    <row r="94" spans="1:29" ht="55.5" customHeight="1" thickBot="1" x14ac:dyDescent="0.35">
      <c r="A94" s="917"/>
      <c r="B94" s="844"/>
      <c r="C94" s="183" t="s">
        <v>18</v>
      </c>
      <c r="D94" s="183">
        <v>133.80000000000001</v>
      </c>
      <c r="E94" s="183">
        <v>133.80000000000001</v>
      </c>
      <c r="F94" s="129"/>
      <c r="G94" s="146"/>
      <c r="H94" s="147">
        <f t="shared" ref="H94:H95" si="30">J94+K94</f>
        <v>0</v>
      </c>
      <c r="I94" s="131"/>
      <c r="J94" s="148"/>
      <c r="K94" s="148"/>
      <c r="L94" s="180"/>
      <c r="M94" s="319" t="s">
        <v>19</v>
      </c>
      <c r="N94" s="654">
        <v>33</v>
      </c>
      <c r="O94" s="463">
        <v>40</v>
      </c>
      <c r="P94" s="528">
        <v>500</v>
      </c>
      <c r="Q94" s="528">
        <v>50</v>
      </c>
      <c r="R94" s="528">
        <v>1000</v>
      </c>
      <c r="S94" s="317"/>
      <c r="T94" s="317"/>
      <c r="U94" s="317"/>
      <c r="V94" s="317"/>
      <c r="W94" s="317"/>
      <c r="X94" s="317"/>
    </row>
    <row r="95" spans="1:29" ht="55.5" customHeight="1" thickBot="1" x14ac:dyDescent="0.35">
      <c r="A95" s="917"/>
      <c r="B95" s="837"/>
      <c r="C95" s="183" t="s">
        <v>31</v>
      </c>
      <c r="D95" s="183">
        <v>272.3</v>
      </c>
      <c r="E95" s="446">
        <v>272.3</v>
      </c>
      <c r="F95" s="129"/>
      <c r="G95" s="146"/>
      <c r="H95" s="147">
        <f t="shared" si="30"/>
        <v>0</v>
      </c>
      <c r="I95" s="131"/>
      <c r="J95" s="148"/>
      <c r="K95" s="148"/>
      <c r="L95" s="180"/>
      <c r="M95" s="319" t="s">
        <v>21</v>
      </c>
      <c r="N95" s="655">
        <v>33</v>
      </c>
      <c r="O95" s="537">
        <v>40</v>
      </c>
      <c r="P95" s="541">
        <v>500</v>
      </c>
      <c r="Q95" s="529">
        <v>50</v>
      </c>
      <c r="R95" s="529">
        <v>1000</v>
      </c>
      <c r="S95" s="317"/>
      <c r="T95" s="317"/>
      <c r="U95" s="317"/>
      <c r="V95" s="317"/>
      <c r="W95" s="317"/>
      <c r="X95" s="317"/>
    </row>
    <row r="96" spans="1:29" ht="53.4" thickBot="1" x14ac:dyDescent="0.35">
      <c r="A96" s="918">
        <v>5</v>
      </c>
      <c r="B96" s="845" t="s">
        <v>207</v>
      </c>
      <c r="C96" s="191" t="s">
        <v>13</v>
      </c>
      <c r="D96" s="632">
        <f t="shared" ref="D96:E98" si="31">D99</f>
        <v>315.791</v>
      </c>
      <c r="E96" s="593">
        <f t="shared" si="31"/>
        <v>315.78946999999999</v>
      </c>
      <c r="F96" s="139">
        <f t="shared" si="27"/>
        <v>0.9999951550234174</v>
      </c>
      <c r="G96" s="139">
        <f>E96/D96*100</f>
        <v>99.999515502341737</v>
      </c>
      <c r="H96" s="888">
        <f>(E99*H99)/E96</f>
        <v>65</v>
      </c>
      <c r="I96" s="142"/>
      <c r="J96" s="142"/>
      <c r="K96" s="142"/>
      <c r="L96" s="144">
        <f>IF(SUM(M97:Y97)=SUM(M98:Y98),1,IF(SUM(M97:Y97)&lt;SUM(M98:Y98),1,2))</f>
        <v>2</v>
      </c>
      <c r="M96" s="300" t="s">
        <v>14</v>
      </c>
      <c r="N96" s="299" t="s">
        <v>208</v>
      </c>
      <c r="O96" s="299" t="s">
        <v>400</v>
      </c>
      <c r="P96" s="299" t="s">
        <v>399</v>
      </c>
      <c r="Q96" s="317"/>
      <c r="R96" s="317"/>
      <c r="S96" s="317"/>
      <c r="T96" s="317"/>
      <c r="U96" s="317"/>
      <c r="V96" s="317"/>
      <c r="W96" s="317"/>
      <c r="X96" s="317"/>
    </row>
    <row r="97" spans="1:24" ht="17.399999999999999" thickBot="1" x14ac:dyDescent="0.35">
      <c r="A97" s="897"/>
      <c r="B97" s="818"/>
      <c r="C97" s="127" t="s">
        <v>18</v>
      </c>
      <c r="D97" s="633">
        <f t="shared" si="31"/>
        <v>15.791</v>
      </c>
      <c r="E97" s="594">
        <f t="shared" si="31"/>
        <v>15.78947</v>
      </c>
      <c r="F97" s="129"/>
      <c r="G97" s="129"/>
      <c r="H97" s="130"/>
      <c r="I97" s="131"/>
      <c r="J97" s="131"/>
      <c r="K97" s="131"/>
      <c r="L97" s="132"/>
      <c r="M97" s="318" t="s">
        <v>19</v>
      </c>
      <c r="N97" s="548" t="s">
        <v>397</v>
      </c>
      <c r="O97" s="463">
        <v>24500</v>
      </c>
      <c r="P97" s="545">
        <v>2050</v>
      </c>
      <c r="Q97" s="317"/>
      <c r="R97" s="317"/>
      <c r="S97" s="317"/>
      <c r="T97" s="317"/>
      <c r="U97" s="317"/>
      <c r="V97" s="317"/>
      <c r="W97" s="317"/>
      <c r="X97" s="317"/>
    </row>
    <row r="98" spans="1:24" ht="31.8" thickBot="1" x14ac:dyDescent="0.35">
      <c r="A98" s="479"/>
      <c r="B98" s="813"/>
      <c r="C98" s="133" t="s">
        <v>20</v>
      </c>
      <c r="D98" s="595">
        <f t="shared" si="31"/>
        <v>300</v>
      </c>
      <c r="E98" s="595">
        <f t="shared" si="31"/>
        <v>300</v>
      </c>
      <c r="F98" s="134"/>
      <c r="G98" s="134"/>
      <c r="H98" s="135"/>
      <c r="I98" s="136"/>
      <c r="J98" s="136"/>
      <c r="K98" s="136"/>
      <c r="L98" s="137"/>
      <c r="M98" s="319" t="s">
        <v>21</v>
      </c>
      <c r="N98" s="549" t="s">
        <v>398</v>
      </c>
      <c r="O98" s="534">
        <v>14307</v>
      </c>
      <c r="P98" s="546">
        <v>1099</v>
      </c>
      <c r="Q98" s="317"/>
      <c r="R98" s="317"/>
      <c r="S98" s="317"/>
      <c r="T98" s="317"/>
      <c r="U98" s="317"/>
      <c r="V98" s="317"/>
      <c r="W98" s="317"/>
      <c r="X98" s="317"/>
    </row>
    <row r="99" spans="1:24" ht="93" thickBot="1" x14ac:dyDescent="0.35">
      <c r="A99" s="915" t="s">
        <v>55</v>
      </c>
      <c r="B99" s="828" t="s">
        <v>209</v>
      </c>
      <c r="C99" s="169" t="s">
        <v>13</v>
      </c>
      <c r="D99" s="590">
        <f>D100+D101</f>
        <v>315.791</v>
      </c>
      <c r="E99" s="590">
        <f>E100+E101</f>
        <v>315.78946999999999</v>
      </c>
      <c r="F99" s="453">
        <v>1</v>
      </c>
      <c r="G99" s="454">
        <f>E99/D99*100</f>
        <v>99.999515502341737</v>
      </c>
      <c r="H99" s="141">
        <f>I99+J99+K99</f>
        <v>65</v>
      </c>
      <c r="I99" s="142">
        <f>IF(G99=100,25,IF((G99&gt;90)*(G99&lt;100),0,IF((G99&gt;70)*(G99&lt;90),-10,-25)))</f>
        <v>0</v>
      </c>
      <c r="J99" s="143">
        <f>IF((F99&gt;0)*(F99&lt;5),10,0)</f>
        <v>10</v>
      </c>
      <c r="K99" s="143">
        <f t="shared" si="26"/>
        <v>55</v>
      </c>
      <c r="L99" s="144">
        <f>IF(SUM(N100:O100)&gt;SUM(N101:O101),1,2)</f>
        <v>1</v>
      </c>
      <c r="M99" s="338" t="s">
        <v>14</v>
      </c>
      <c r="N99" s="351" t="s">
        <v>402</v>
      </c>
      <c r="O99" s="372" t="s">
        <v>403</v>
      </c>
      <c r="P99" s="301" t="s">
        <v>401</v>
      </c>
      <c r="Q99" s="317"/>
      <c r="R99" s="357"/>
      <c r="S99" s="357"/>
      <c r="T99" s="357"/>
      <c r="U99" s="317"/>
      <c r="V99" s="317"/>
      <c r="W99" s="317"/>
      <c r="X99" s="317"/>
    </row>
    <row r="100" spans="1:24" ht="17.399999999999999" thickBot="1" x14ac:dyDescent="0.35">
      <c r="A100" s="912"/>
      <c r="B100" s="829"/>
      <c r="C100" s="149" t="s">
        <v>18</v>
      </c>
      <c r="D100" s="631">
        <v>15.791</v>
      </c>
      <c r="E100" s="591">
        <v>15.78947</v>
      </c>
      <c r="F100" s="453">
        <v>1</v>
      </c>
      <c r="G100" s="454"/>
      <c r="H100" s="147"/>
      <c r="I100" s="131"/>
      <c r="J100" s="148"/>
      <c r="K100" s="148"/>
      <c r="L100" s="132"/>
      <c r="M100" s="339" t="s">
        <v>19</v>
      </c>
      <c r="N100" s="550">
        <v>210.52699999999999</v>
      </c>
      <c r="O100" s="551">
        <v>105.264</v>
      </c>
      <c r="P100" s="552">
        <v>315.791</v>
      </c>
      <c r="Q100" s="317"/>
      <c r="R100" s="933"/>
      <c r="S100" s="934"/>
      <c r="T100" s="935"/>
      <c r="U100" s="317"/>
      <c r="V100" s="317"/>
      <c r="W100" s="317"/>
      <c r="X100" s="317"/>
    </row>
    <row r="101" spans="1:24" ht="31.8" thickBot="1" x14ac:dyDescent="0.35">
      <c r="A101" s="913"/>
      <c r="B101" s="830"/>
      <c r="C101" s="151" t="s">
        <v>20</v>
      </c>
      <c r="D101" s="592">
        <v>300</v>
      </c>
      <c r="E101" s="592">
        <v>300</v>
      </c>
      <c r="F101" s="453">
        <v>1</v>
      </c>
      <c r="G101" s="454"/>
      <c r="H101" s="154"/>
      <c r="I101" s="155"/>
      <c r="J101" s="156"/>
      <c r="K101" s="156"/>
      <c r="L101" s="157"/>
      <c r="M101" s="340" t="s">
        <v>21</v>
      </c>
      <c r="N101" s="550">
        <v>210.52631</v>
      </c>
      <c r="O101" s="551">
        <v>105.26316</v>
      </c>
      <c r="P101" s="552">
        <v>315.78946999999999</v>
      </c>
      <c r="Q101" s="317"/>
      <c r="R101" s="933"/>
      <c r="S101" s="934"/>
      <c r="T101" s="935"/>
      <c r="U101" s="317"/>
      <c r="V101" s="317"/>
      <c r="W101" s="317"/>
      <c r="X101" s="317"/>
    </row>
    <row r="102" spans="1:24" ht="40.200000000000003" thickBot="1" x14ac:dyDescent="0.35">
      <c r="A102" s="896">
        <v>6</v>
      </c>
      <c r="B102" s="812" t="s">
        <v>210</v>
      </c>
      <c r="C102" s="122" t="s">
        <v>13</v>
      </c>
      <c r="D102" s="193">
        <f>D105+D108+D112</f>
        <v>14795.76765</v>
      </c>
      <c r="E102" s="193">
        <f>E105+E108+E112</f>
        <v>14335.595690000002</v>
      </c>
      <c r="F102" s="124">
        <v>3.11</v>
      </c>
      <c r="G102" s="124">
        <v>100</v>
      </c>
      <c r="H102" s="452">
        <f>(E105*H105+E108*H108+E112*H112)/E102</f>
        <v>91.745403019244876</v>
      </c>
      <c r="I102" s="131">
        <f t="shared" ref="I102" si="32">IF(G102=100,25,IF((G102&gt;99)*(G102&lt;100),25,IF((G102&gt;90)*(G102&lt;99),0,IF((G102&gt;70)*(G102&lt;90),-10,-25))))</f>
        <v>25</v>
      </c>
      <c r="J102" s="148">
        <f t="shared" ref="J102" si="33">IF((F102&gt;0)*(F102&lt;5),10,0)</f>
        <v>10</v>
      </c>
      <c r="K102" s="148">
        <f t="shared" si="26"/>
        <v>55</v>
      </c>
      <c r="L102" s="126">
        <f>IF(SUM(M103:Y103)=SUM(M104:Y104),1,IF(SUM(M103:Y103)&gt;SUM(M104:Y104),1,2))</f>
        <v>1</v>
      </c>
      <c r="M102" s="298" t="s">
        <v>14</v>
      </c>
      <c r="N102" s="300" t="s">
        <v>211</v>
      </c>
      <c r="O102" s="886" t="s">
        <v>212</v>
      </c>
      <c r="P102" s="887" t="s">
        <v>213</v>
      </c>
      <c r="Q102" s="317"/>
      <c r="R102" s="317"/>
      <c r="S102" s="317"/>
      <c r="T102" s="317"/>
      <c r="U102" s="317"/>
      <c r="V102" s="317"/>
      <c r="W102" s="317"/>
      <c r="X102" s="317"/>
    </row>
    <row r="103" spans="1:24" ht="17.399999999999999" thickBot="1" x14ac:dyDescent="0.35">
      <c r="A103" s="897"/>
      <c r="B103" s="818"/>
      <c r="C103" s="127" t="s">
        <v>18</v>
      </c>
      <c r="D103" s="194">
        <f>D106+D109+D113</f>
        <v>5462.80069</v>
      </c>
      <c r="E103" s="194">
        <f>E106+E109+E113</f>
        <v>5462.1098600000005</v>
      </c>
      <c r="F103" s="129"/>
      <c r="G103" s="129"/>
      <c r="H103" s="130"/>
      <c r="I103" s="142"/>
      <c r="J103" s="143"/>
      <c r="K103" s="143"/>
      <c r="L103" s="132"/>
      <c r="M103" s="339" t="s">
        <v>19</v>
      </c>
      <c r="N103" s="539">
        <v>51.1</v>
      </c>
      <c r="O103" s="324">
        <v>60</v>
      </c>
      <c r="P103" s="324">
        <v>8</v>
      </c>
      <c r="Q103" s="317"/>
      <c r="R103" s="317"/>
      <c r="S103" s="317"/>
      <c r="T103" s="317"/>
      <c r="U103" s="317"/>
      <c r="V103" s="317"/>
      <c r="W103" s="317"/>
      <c r="X103" s="317"/>
    </row>
    <row r="104" spans="1:24" ht="31.8" thickBot="1" x14ac:dyDescent="0.35">
      <c r="A104" s="479"/>
      <c r="B104" s="813"/>
      <c r="C104" s="133" t="s">
        <v>20</v>
      </c>
      <c r="D104" s="630">
        <f>D114</f>
        <v>3312.36861</v>
      </c>
      <c r="E104" s="630">
        <f>E114</f>
        <v>2921.2798400000001</v>
      </c>
      <c r="F104" s="134"/>
      <c r="G104" s="134"/>
      <c r="H104" s="135"/>
      <c r="I104" s="142"/>
      <c r="J104" s="143"/>
      <c r="K104" s="143"/>
      <c r="L104" s="137"/>
      <c r="M104" s="341" t="s">
        <v>21</v>
      </c>
      <c r="N104" s="542">
        <v>47.1</v>
      </c>
      <c r="O104" s="324">
        <v>60</v>
      </c>
      <c r="P104" s="324">
        <v>8</v>
      </c>
      <c r="Q104" s="317"/>
      <c r="R104" s="317"/>
      <c r="S104" s="317"/>
      <c r="T104" s="317"/>
      <c r="U104" s="317"/>
      <c r="V104" s="317"/>
      <c r="W104" s="317"/>
      <c r="X104" s="317"/>
    </row>
    <row r="105" spans="1:24" ht="79.8" thickBot="1" x14ac:dyDescent="0.35">
      <c r="A105" s="915" t="s">
        <v>61</v>
      </c>
      <c r="B105" s="828" t="s">
        <v>214</v>
      </c>
      <c r="C105" s="169" t="s">
        <v>13</v>
      </c>
      <c r="D105" s="138">
        <f>D106+D107</f>
        <v>7480.4004800000002</v>
      </c>
      <c r="E105" s="138">
        <f>E106+E107</f>
        <v>7411.3172900000009</v>
      </c>
      <c r="F105" s="139">
        <v>0.92</v>
      </c>
      <c r="G105" s="146">
        <v>100</v>
      </c>
      <c r="H105" s="141">
        <f>I105+J105+K105</f>
        <v>90</v>
      </c>
      <c r="I105" s="142">
        <f>IF(G105=100,25,IF((G105&gt;99)*(G105&lt;100),25,IF((G105&gt;90)*(G105&lt;99),0,IF((G105&gt;70)*(G105&lt;90),-10,-25))))</f>
        <v>25</v>
      </c>
      <c r="J105" s="143">
        <f>IF((F105&gt;0)*(F105&lt;5),10,0)</f>
        <v>10</v>
      </c>
      <c r="K105" s="143">
        <f t="shared" si="26"/>
        <v>55</v>
      </c>
      <c r="L105" s="144">
        <f>IF(SUM(N106)=SUM(N107),1,IF(SUM(N106)&gt;SUM(N107),1,2))</f>
        <v>1</v>
      </c>
      <c r="M105" s="300" t="s">
        <v>14</v>
      </c>
      <c r="N105" s="299" t="s">
        <v>215</v>
      </c>
      <c r="O105" s="880"/>
      <c r="P105" s="883"/>
      <c r="Q105" s="317"/>
      <c r="R105" s="317"/>
      <c r="S105" s="317"/>
      <c r="T105" s="317"/>
      <c r="U105" s="317"/>
      <c r="V105" s="317"/>
      <c r="W105" s="317"/>
      <c r="X105" s="317"/>
    </row>
    <row r="106" spans="1:24" ht="17.399999999999999" thickBot="1" x14ac:dyDescent="0.35">
      <c r="A106" s="912"/>
      <c r="B106" s="829"/>
      <c r="C106" s="149" t="s">
        <v>18</v>
      </c>
      <c r="D106" s="581">
        <v>1459.80213</v>
      </c>
      <c r="E106" s="150">
        <v>1459.1113</v>
      </c>
      <c r="F106" s="129"/>
      <c r="G106" s="146"/>
      <c r="H106" s="147"/>
      <c r="I106" s="131"/>
      <c r="J106" s="148"/>
      <c r="K106" s="148"/>
      <c r="L106" s="132"/>
      <c r="M106" s="318" t="s">
        <v>19</v>
      </c>
      <c r="N106" s="885">
        <v>7480.4004800000002</v>
      </c>
      <c r="O106" s="881"/>
      <c r="P106" s="882"/>
      <c r="Q106" s="317"/>
      <c r="R106" s="317"/>
      <c r="S106" s="317"/>
      <c r="T106" s="317"/>
      <c r="U106" s="317"/>
      <c r="V106" s="317"/>
      <c r="W106" s="317"/>
      <c r="X106" s="317"/>
    </row>
    <row r="107" spans="1:24" ht="17.399999999999999" thickBot="1" x14ac:dyDescent="0.35">
      <c r="A107" s="912"/>
      <c r="B107" s="829"/>
      <c r="C107" s="149" t="s">
        <v>20</v>
      </c>
      <c r="D107" s="150">
        <v>6020.5983500000002</v>
      </c>
      <c r="E107" s="145">
        <v>5952.2059900000004</v>
      </c>
      <c r="F107" s="129"/>
      <c r="G107" s="146"/>
      <c r="H107" s="147"/>
      <c r="I107" s="131"/>
      <c r="J107" s="148"/>
      <c r="K107" s="148"/>
      <c r="L107" s="132"/>
      <c r="M107" s="319" t="s">
        <v>21</v>
      </c>
      <c r="N107" s="884">
        <v>7411.31729</v>
      </c>
      <c r="O107" s="881"/>
      <c r="P107" s="882"/>
      <c r="Q107" s="317"/>
      <c r="R107" s="317"/>
      <c r="S107" s="317"/>
      <c r="T107" s="317"/>
      <c r="U107" s="317"/>
      <c r="V107" s="317"/>
      <c r="W107" s="317"/>
      <c r="X107" s="317"/>
    </row>
    <row r="108" spans="1:24" ht="160.5" customHeight="1" thickBot="1" x14ac:dyDescent="0.35">
      <c r="A108" s="912" t="s">
        <v>65</v>
      </c>
      <c r="B108" s="829" t="s">
        <v>216</v>
      </c>
      <c r="C108" s="149" t="s">
        <v>13</v>
      </c>
      <c r="D108" s="588">
        <f>D109</f>
        <v>1920</v>
      </c>
      <c r="E108" s="588">
        <f>E109</f>
        <v>1920</v>
      </c>
      <c r="F108" s="129">
        <f t="shared" si="27"/>
        <v>1</v>
      </c>
      <c r="G108" s="146">
        <f>E108/D108*100</f>
        <v>100</v>
      </c>
      <c r="H108" s="147">
        <f>I108+J108+K108</f>
        <v>90</v>
      </c>
      <c r="I108" s="131">
        <f>IF(G108=100,25,IF((G108&gt;90)*(G108&lt;100),0,IF((G108&gt;70)*(G108&lt;90),-10,-25)))</f>
        <v>25</v>
      </c>
      <c r="J108" s="148">
        <f>IF((F108&gt;0)*(F108&lt;5),10,0)</f>
        <v>10</v>
      </c>
      <c r="K108" s="148">
        <f t="shared" si="26"/>
        <v>55</v>
      </c>
      <c r="L108" s="132">
        <f>IF(SUM(M109:Y109)=SUM(M110:Y110),1,IF(SUM(M109:Y109)&lt;SUM(M110:Y110),1,2))</f>
        <v>1</v>
      </c>
      <c r="M108" s="300" t="s">
        <v>14</v>
      </c>
      <c r="N108" s="300" t="s">
        <v>404</v>
      </c>
      <c r="O108" s="369"/>
      <c r="P108" s="369"/>
      <c r="Q108" s="369"/>
      <c r="R108" s="317"/>
      <c r="S108" s="317"/>
      <c r="T108" s="317"/>
      <c r="U108" s="317"/>
      <c r="V108" s="317"/>
      <c r="W108" s="317"/>
      <c r="X108" s="317"/>
    </row>
    <row r="109" spans="1:24" ht="24" customHeight="1" thickBot="1" x14ac:dyDescent="0.35">
      <c r="A109" s="912"/>
      <c r="B109" s="829"/>
      <c r="C109" s="817" t="s">
        <v>18</v>
      </c>
      <c r="D109" s="588">
        <v>1920</v>
      </c>
      <c r="E109" s="588">
        <v>1920</v>
      </c>
      <c r="F109" s="129"/>
      <c r="G109" s="146"/>
      <c r="H109" s="147"/>
      <c r="I109" s="131"/>
      <c r="J109" s="148"/>
      <c r="K109" s="148"/>
      <c r="L109" s="132"/>
      <c r="M109" s="318" t="s">
        <v>19</v>
      </c>
      <c r="N109" s="553">
        <v>1920</v>
      </c>
      <c r="O109" s="357"/>
      <c r="P109" s="358"/>
      <c r="Q109" s="358"/>
      <c r="R109" s="317"/>
      <c r="S109" s="317"/>
      <c r="T109" s="317"/>
      <c r="U109" s="317"/>
      <c r="V109" s="317"/>
      <c r="W109" s="317"/>
      <c r="X109" s="317"/>
    </row>
    <row r="110" spans="1:24" ht="17.399999999999999" thickBot="1" x14ac:dyDescent="0.35">
      <c r="A110" s="912"/>
      <c r="B110" s="829"/>
      <c r="C110" s="817"/>
      <c r="D110" s="588"/>
      <c r="E110" s="588"/>
      <c r="F110" s="129"/>
      <c r="G110" s="146"/>
      <c r="H110" s="147"/>
      <c r="I110" s="131"/>
      <c r="J110" s="148"/>
      <c r="K110" s="148"/>
      <c r="L110" s="132"/>
      <c r="M110" s="319" t="s">
        <v>21</v>
      </c>
      <c r="N110" s="554">
        <v>1920</v>
      </c>
      <c r="O110" s="357"/>
      <c r="P110" s="358"/>
      <c r="Q110" s="358"/>
      <c r="R110" s="317"/>
      <c r="S110" s="317"/>
      <c r="T110" s="317"/>
      <c r="U110" s="317"/>
      <c r="V110" s="317"/>
      <c r="W110" s="317"/>
      <c r="X110" s="317"/>
    </row>
    <row r="111" spans="1:24" ht="17.399999999999999" thickBot="1" x14ac:dyDescent="0.35">
      <c r="A111" s="912"/>
      <c r="B111" s="829"/>
      <c r="C111" s="817"/>
      <c r="D111" s="588"/>
      <c r="E111" s="588"/>
      <c r="F111" s="129"/>
      <c r="G111" s="146"/>
      <c r="H111" s="147"/>
      <c r="I111" s="131"/>
      <c r="J111" s="148"/>
      <c r="K111" s="148"/>
      <c r="L111" s="132"/>
      <c r="M111" s="326"/>
      <c r="N111" s="293"/>
      <c r="O111" s="292"/>
      <c r="P111" s="326"/>
      <c r="Q111" s="326"/>
      <c r="R111" s="317"/>
      <c r="S111" s="317"/>
      <c r="T111" s="317"/>
      <c r="U111" s="317"/>
      <c r="V111" s="317"/>
      <c r="W111" s="317"/>
      <c r="X111" s="317"/>
    </row>
    <row r="112" spans="1:24" ht="86.25" customHeight="1" thickBot="1" x14ac:dyDescent="0.35">
      <c r="A112" s="912" t="s">
        <v>217</v>
      </c>
      <c r="B112" s="829" t="s">
        <v>218</v>
      </c>
      <c r="C112" s="149" t="s">
        <v>13</v>
      </c>
      <c r="D112" s="584">
        <f>D113+D114</f>
        <v>5395.3671699999995</v>
      </c>
      <c r="E112" s="584">
        <f>E113+E114</f>
        <v>5004.2784000000001</v>
      </c>
      <c r="F112" s="129">
        <v>7.24</v>
      </c>
      <c r="G112" s="146">
        <v>100</v>
      </c>
      <c r="H112" s="147">
        <f>I112+J112+K112</f>
        <v>95</v>
      </c>
      <c r="I112" s="131">
        <f>IF(G112=100,25,IF((G112&gt;90)*(G112&lt;100),0,IF((G112&gt;70)*(G112&lt;90),-10,-25)))</f>
        <v>25</v>
      </c>
      <c r="J112" s="160">
        <f>IF((F112&gt;5)*(F112&lt;10),15,10)</f>
        <v>15</v>
      </c>
      <c r="K112" s="160">
        <f t="shared" si="26"/>
        <v>55</v>
      </c>
      <c r="L112" s="132">
        <f>IF(SUM(N113)=SUM(N114),1,IF(SUM(N113)&gt;SUM(N114),1,2))</f>
        <v>1</v>
      </c>
      <c r="M112" s="298" t="s">
        <v>14</v>
      </c>
      <c r="N112" s="301" t="s">
        <v>405</v>
      </c>
      <c r="O112" s="723"/>
      <c r="P112" s="357"/>
      <c r="Q112" s="317"/>
      <c r="R112" s="317"/>
      <c r="S112" s="317"/>
      <c r="T112" s="317"/>
      <c r="U112" s="317"/>
      <c r="V112" s="317"/>
      <c r="W112" s="317"/>
      <c r="X112" s="317"/>
    </row>
    <row r="113" spans="1:24" ht="17.399999999999999" thickBot="1" x14ac:dyDescent="0.35">
      <c r="A113" s="912"/>
      <c r="B113" s="829"/>
      <c r="C113" s="149" t="s">
        <v>18</v>
      </c>
      <c r="D113" s="584">
        <v>2082.99856</v>
      </c>
      <c r="E113" s="625">
        <v>2082.99856</v>
      </c>
      <c r="F113" s="129"/>
      <c r="G113" s="158"/>
      <c r="H113" s="159"/>
      <c r="I113" s="131"/>
      <c r="J113" s="160"/>
      <c r="K113" s="160"/>
      <c r="L113" s="132"/>
      <c r="M113" s="569" t="s">
        <v>19</v>
      </c>
      <c r="N113" s="647">
        <v>5395.3671700000004</v>
      </c>
      <c r="O113" s="358"/>
      <c r="P113" s="358"/>
      <c r="Q113" s="317"/>
      <c r="R113" s="317"/>
      <c r="S113" s="317"/>
      <c r="T113" s="317"/>
      <c r="U113" s="317"/>
      <c r="V113" s="317"/>
      <c r="W113" s="317"/>
      <c r="X113" s="317"/>
    </row>
    <row r="114" spans="1:24" ht="17.399999999999999" thickBot="1" x14ac:dyDescent="0.35">
      <c r="A114" s="913"/>
      <c r="B114" s="830"/>
      <c r="C114" s="151" t="s">
        <v>20</v>
      </c>
      <c r="D114" s="586">
        <v>3312.36861</v>
      </c>
      <c r="E114" s="714">
        <v>2921.2798400000001</v>
      </c>
      <c r="F114" s="152"/>
      <c r="G114" s="176"/>
      <c r="H114" s="177"/>
      <c r="I114" s="131"/>
      <c r="J114" s="160"/>
      <c r="K114" s="160"/>
      <c r="L114" s="157"/>
      <c r="M114" s="657" t="s">
        <v>21</v>
      </c>
      <c r="N114" s="647">
        <v>5004.2784000000001</v>
      </c>
      <c r="O114" s="358"/>
      <c r="P114" s="358"/>
      <c r="Q114" s="317"/>
      <c r="R114" s="317"/>
      <c r="S114" s="317"/>
      <c r="T114" s="317"/>
      <c r="U114" s="317"/>
      <c r="V114" s="317"/>
      <c r="W114" s="317"/>
      <c r="X114" s="317"/>
    </row>
    <row r="115" spans="1:24" ht="38.25" customHeight="1" thickBot="1" x14ac:dyDescent="0.35">
      <c r="A115" s="896">
        <v>7</v>
      </c>
      <c r="B115" s="812" t="s">
        <v>219</v>
      </c>
      <c r="C115" s="122" t="s">
        <v>13</v>
      </c>
      <c r="D115" s="469">
        <f>D127</f>
        <v>3219</v>
      </c>
      <c r="E115" s="470">
        <f t="shared" ref="D115:E117" si="34">E120+E124+E127</f>
        <v>2859.2</v>
      </c>
      <c r="F115" s="124">
        <f t="shared" si="27"/>
        <v>0.88822615719167441</v>
      </c>
      <c r="G115" s="124">
        <f>E115/D115*100</f>
        <v>88.822615719167445</v>
      </c>
      <c r="H115" s="195">
        <f>(E127*H127)/E115</f>
        <v>90</v>
      </c>
      <c r="I115" s="131">
        <f>IF(F115&lt;1,25,IF((G115&gt;90)*(G115&lt;100),0,IF((G115&gt;70)*(G115&lt;90),-10,-25)))</f>
        <v>25</v>
      </c>
      <c r="J115" s="160">
        <f t="shared" ref="J115" si="35">IF((F115&gt;0)*(F115&lt;5),10,0)</f>
        <v>10</v>
      </c>
      <c r="K115" s="160">
        <f t="shared" si="26"/>
        <v>10</v>
      </c>
      <c r="L115" s="126">
        <f>IF(SUM(N117:W117)=SUM(N118:W118),1,IF(SUM(N117:W117)&gt;SUM(N118:W118),1,2))</f>
        <v>2</v>
      </c>
      <c r="M115" s="317"/>
      <c r="N115" s="295"/>
      <c r="O115" s="294"/>
      <c r="P115" s="317"/>
      <c r="Q115" s="317"/>
      <c r="R115" s="317"/>
      <c r="S115" s="317"/>
      <c r="T115" s="317"/>
      <c r="U115" s="317"/>
      <c r="V115" s="317"/>
      <c r="W115" s="317"/>
      <c r="X115" s="317"/>
    </row>
    <row r="116" spans="1:24" ht="134.25" customHeight="1" thickBot="1" x14ac:dyDescent="0.35">
      <c r="A116" s="897"/>
      <c r="B116" s="818"/>
      <c r="C116" s="127" t="s">
        <v>18</v>
      </c>
      <c r="D116" s="127">
        <f t="shared" si="34"/>
        <v>307.39999999999998</v>
      </c>
      <c r="E116" s="127">
        <f t="shared" si="34"/>
        <v>307.39999999999998</v>
      </c>
      <c r="F116" s="129"/>
      <c r="G116" s="129"/>
      <c r="H116" s="130"/>
      <c r="I116" s="131"/>
      <c r="J116" s="131"/>
      <c r="K116" s="131"/>
      <c r="L116" s="132"/>
      <c r="M116" s="298" t="s">
        <v>43</v>
      </c>
      <c r="N116" s="327" t="s">
        <v>220</v>
      </c>
      <c r="O116" s="342" t="s">
        <v>221</v>
      </c>
      <c r="P116" s="342" t="s">
        <v>222</v>
      </c>
      <c r="Q116" s="342" t="s">
        <v>223</v>
      </c>
      <c r="R116" s="342" t="s">
        <v>224</v>
      </c>
      <c r="S116" s="342" t="s">
        <v>225</v>
      </c>
      <c r="T116" s="342" t="s">
        <v>226</v>
      </c>
      <c r="U116" s="342" t="s">
        <v>227</v>
      </c>
      <c r="V116" s="342" t="s">
        <v>228</v>
      </c>
      <c r="W116" s="658" t="s">
        <v>406</v>
      </c>
      <c r="X116" s="317"/>
    </row>
    <row r="117" spans="1:24" ht="31.2" x14ac:dyDescent="0.3">
      <c r="A117" s="897"/>
      <c r="B117" s="818"/>
      <c r="C117" s="127" t="s">
        <v>20</v>
      </c>
      <c r="D117" s="127">
        <f t="shared" si="34"/>
        <v>802.2</v>
      </c>
      <c r="E117" s="127">
        <f t="shared" si="34"/>
        <v>703</v>
      </c>
      <c r="F117" s="129"/>
      <c r="G117" s="129"/>
      <c r="H117" s="130"/>
      <c r="I117" s="131"/>
      <c r="J117" s="131"/>
      <c r="K117" s="131"/>
      <c r="L117" s="132"/>
      <c r="M117" s="343" t="s">
        <v>19</v>
      </c>
      <c r="N117" s="539">
        <v>28.7</v>
      </c>
      <c r="O117" s="463">
        <v>2</v>
      </c>
      <c r="P117" s="528">
        <v>0</v>
      </c>
      <c r="Q117" s="528">
        <v>14</v>
      </c>
      <c r="R117" s="528">
        <v>5.8</v>
      </c>
      <c r="S117" s="528">
        <v>67</v>
      </c>
      <c r="T117" s="528">
        <v>0</v>
      </c>
      <c r="U117" s="528">
        <v>75</v>
      </c>
      <c r="V117" s="528">
        <v>0</v>
      </c>
      <c r="W117" s="528">
        <v>3</v>
      </c>
      <c r="X117" s="317"/>
    </row>
    <row r="118" spans="1:24" ht="31.8" thickBot="1" x14ac:dyDescent="0.35">
      <c r="A118" s="897"/>
      <c r="B118" s="818"/>
      <c r="C118" s="127" t="s">
        <v>68</v>
      </c>
      <c r="D118" s="127">
        <f>D130</f>
        <v>2109.4</v>
      </c>
      <c r="E118" s="473">
        <f>E130</f>
        <v>1848.8</v>
      </c>
      <c r="F118" s="129"/>
      <c r="G118" s="129"/>
      <c r="H118" s="130"/>
      <c r="I118" s="131"/>
      <c r="J118" s="131"/>
      <c r="K118" s="131"/>
      <c r="L118" s="132"/>
      <c r="M118" s="311" t="s">
        <v>21</v>
      </c>
      <c r="N118" s="540">
        <v>28.7</v>
      </c>
      <c r="O118" s="324">
        <v>0</v>
      </c>
      <c r="P118" s="725">
        <v>0</v>
      </c>
      <c r="Q118" s="725">
        <v>0</v>
      </c>
      <c r="R118" s="725">
        <v>5.8</v>
      </c>
      <c r="S118" s="725">
        <v>92</v>
      </c>
      <c r="T118" s="529">
        <v>0</v>
      </c>
      <c r="U118" s="529">
        <v>75</v>
      </c>
      <c r="V118" s="529">
        <v>0</v>
      </c>
      <c r="W118" s="646">
        <v>3</v>
      </c>
      <c r="X118" s="317"/>
    </row>
    <row r="119" spans="1:24" ht="51" thickBot="1" x14ac:dyDescent="0.35">
      <c r="A119" s="479"/>
      <c r="B119" s="813"/>
      <c r="C119" s="196" t="s">
        <v>69</v>
      </c>
      <c r="D119" s="196">
        <v>0</v>
      </c>
      <c r="E119" s="196">
        <v>0</v>
      </c>
      <c r="F119" s="134"/>
      <c r="G119" s="134"/>
      <c r="H119" s="135"/>
      <c r="I119" s="136"/>
      <c r="J119" s="136"/>
      <c r="K119" s="136"/>
      <c r="L119" s="137"/>
      <c r="M119" s="345"/>
      <c r="N119" s="293"/>
      <c r="O119" s="292"/>
      <c r="P119" s="337"/>
      <c r="Q119" s="337"/>
      <c r="R119" s="337"/>
      <c r="S119" s="337"/>
      <c r="T119" s="337"/>
      <c r="U119" s="337"/>
      <c r="V119" s="337"/>
      <c r="W119" s="337"/>
      <c r="X119" s="317"/>
    </row>
    <row r="120" spans="1:24" ht="51.75" customHeight="1" x14ac:dyDescent="0.3">
      <c r="A120" s="915" t="s">
        <v>70</v>
      </c>
      <c r="B120" s="839" t="s">
        <v>229</v>
      </c>
      <c r="C120" s="197" t="s">
        <v>13</v>
      </c>
      <c r="D120" s="840" t="s">
        <v>163</v>
      </c>
      <c r="E120" s="841"/>
      <c r="F120" s="841"/>
      <c r="G120" s="841"/>
      <c r="H120" s="841"/>
      <c r="I120" s="841"/>
      <c r="J120" s="841"/>
      <c r="K120" s="841"/>
      <c r="L120" s="842"/>
      <c r="M120" s="345"/>
      <c r="N120" s="293"/>
      <c r="O120" s="292"/>
      <c r="P120" s="337"/>
      <c r="Q120" s="337"/>
      <c r="R120" s="337"/>
      <c r="S120" s="337"/>
      <c r="T120" s="337"/>
      <c r="U120" s="337"/>
      <c r="V120" s="337"/>
      <c r="W120" s="337"/>
      <c r="X120" s="317"/>
    </row>
    <row r="121" spans="1:24" ht="16.8" x14ac:dyDescent="0.3">
      <c r="A121" s="912"/>
      <c r="B121" s="832"/>
      <c r="C121" s="198" t="s">
        <v>18</v>
      </c>
      <c r="D121" s="198">
        <v>0</v>
      </c>
      <c r="E121" s="198">
        <v>0</v>
      </c>
      <c r="F121" s="280"/>
      <c r="G121" s="281"/>
      <c r="H121" s="460"/>
      <c r="I121" s="277"/>
      <c r="J121" s="278"/>
      <c r="K121" s="278"/>
      <c r="L121" s="279"/>
      <c r="M121" s="317"/>
      <c r="N121" s="293"/>
      <c r="O121" s="292"/>
      <c r="P121" s="337"/>
      <c r="Q121" s="337"/>
      <c r="R121" s="337"/>
      <c r="S121" s="337"/>
      <c r="T121" s="337"/>
      <c r="U121" s="337"/>
      <c r="V121" s="337"/>
      <c r="W121" s="337"/>
      <c r="X121" s="317"/>
    </row>
    <row r="122" spans="1:24" ht="33.6" x14ac:dyDescent="0.3">
      <c r="A122" s="912"/>
      <c r="B122" s="832"/>
      <c r="C122" s="198" t="s">
        <v>20</v>
      </c>
      <c r="D122" s="198">
        <v>0</v>
      </c>
      <c r="E122" s="198">
        <v>0</v>
      </c>
      <c r="F122" s="280"/>
      <c r="G122" s="281"/>
      <c r="H122" s="460"/>
      <c r="I122" s="277"/>
      <c r="J122" s="278"/>
      <c r="K122" s="278"/>
      <c r="L122" s="279"/>
      <c r="M122" s="317"/>
      <c r="N122" s="295"/>
      <c r="O122" s="294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1:24" ht="34.200000000000003" thickBot="1" x14ac:dyDescent="0.35">
      <c r="A123" s="912"/>
      <c r="B123" s="832"/>
      <c r="C123" s="198" t="s">
        <v>69</v>
      </c>
      <c r="D123" s="198">
        <v>0</v>
      </c>
      <c r="E123" s="198">
        <v>0</v>
      </c>
      <c r="F123" s="280"/>
      <c r="G123" s="281"/>
      <c r="H123" s="460"/>
      <c r="I123" s="277"/>
      <c r="J123" s="278"/>
      <c r="K123" s="278"/>
      <c r="L123" s="279"/>
      <c r="M123" s="317"/>
      <c r="N123" s="295"/>
      <c r="O123" s="294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1:24" ht="92.4" thickBot="1" x14ac:dyDescent="0.35">
      <c r="A124" s="912" t="s">
        <v>72</v>
      </c>
      <c r="B124" s="838" t="s">
        <v>230</v>
      </c>
      <c r="C124" s="648" t="s">
        <v>13</v>
      </c>
      <c r="D124" s="833" t="s">
        <v>163</v>
      </c>
      <c r="E124" s="834"/>
      <c r="F124" s="834"/>
      <c r="G124" s="834"/>
      <c r="H124" s="834"/>
      <c r="I124" s="834"/>
      <c r="J124" s="834"/>
      <c r="K124" s="834"/>
      <c r="L124" s="835"/>
      <c r="M124" s="298" t="s">
        <v>43</v>
      </c>
      <c r="N124" s="658" t="s">
        <v>451</v>
      </c>
      <c r="O124" s="294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1:24" ht="16.8" x14ac:dyDescent="0.3">
      <c r="A125" s="912"/>
      <c r="B125" s="838"/>
      <c r="C125" s="571" t="s">
        <v>18</v>
      </c>
      <c r="D125" s="187">
        <v>0</v>
      </c>
      <c r="E125" s="187">
        <v>0</v>
      </c>
      <c r="F125" s="575"/>
      <c r="G125" s="576"/>
      <c r="H125" s="571"/>
      <c r="I125" s="577"/>
      <c r="J125" s="578"/>
      <c r="K125" s="578"/>
      <c r="L125" s="579"/>
      <c r="M125" s="343" t="s">
        <v>19</v>
      </c>
      <c r="N125" s="463">
        <v>3</v>
      </c>
      <c r="O125" s="294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1:24" ht="34.200000000000003" thickBot="1" x14ac:dyDescent="0.35">
      <c r="A126" s="912"/>
      <c r="B126" s="838"/>
      <c r="C126" s="571" t="s">
        <v>20</v>
      </c>
      <c r="D126" s="187">
        <v>0</v>
      </c>
      <c r="E126" s="187">
        <v>0</v>
      </c>
      <c r="F126" s="575"/>
      <c r="G126" s="576"/>
      <c r="H126" s="571"/>
      <c r="I126" s="577"/>
      <c r="J126" s="578"/>
      <c r="K126" s="578"/>
      <c r="L126" s="579"/>
      <c r="M126" s="311" t="s">
        <v>21</v>
      </c>
      <c r="N126" s="463">
        <v>3</v>
      </c>
      <c r="O126" s="294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1:24" ht="51.6" customHeight="1" x14ac:dyDescent="0.3">
      <c r="A127" s="912" t="s">
        <v>75</v>
      </c>
      <c r="B127" s="817" t="s">
        <v>327</v>
      </c>
      <c r="C127" s="149" t="s">
        <v>13</v>
      </c>
      <c r="D127" s="889">
        <f>D128+D129+D130+D131</f>
        <v>3219</v>
      </c>
      <c r="E127" s="187">
        <f>E128+E129+E130+E131</f>
        <v>2859.2</v>
      </c>
      <c r="F127" s="129">
        <f t="shared" si="27"/>
        <v>0.88822615719167441</v>
      </c>
      <c r="G127" s="146">
        <f>E127/D127*100</f>
        <v>88.822615719167445</v>
      </c>
      <c r="H127" s="147">
        <f>I127+J127+K127</f>
        <v>90</v>
      </c>
      <c r="I127" s="131">
        <f>IF(F127&lt;1,25,IF((G127&gt;90)*(G127&lt;100),0,IF((G127&gt;70)*(G127&lt;90),-10,-25)))</f>
        <v>25</v>
      </c>
      <c r="J127" s="148">
        <f>IF((F127&gt;0)*(F127&lt;5),10,0)</f>
        <v>10</v>
      </c>
      <c r="K127" s="148">
        <f t="shared" si="26"/>
        <v>55</v>
      </c>
      <c r="L127" s="132">
        <f>IF(SUM(M125:Y125)=SUM(M126:Y126),1,2)</f>
        <v>1</v>
      </c>
      <c r="M127" s="346"/>
      <c r="N127" s="295"/>
      <c r="O127" s="294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1:24" ht="16.8" x14ac:dyDescent="0.3">
      <c r="A128" s="912"/>
      <c r="B128" s="817"/>
      <c r="C128" s="149" t="s">
        <v>18</v>
      </c>
      <c r="D128" s="150">
        <v>307.39999999999998</v>
      </c>
      <c r="E128" s="150">
        <v>307.39999999999998</v>
      </c>
      <c r="F128" s="129"/>
      <c r="G128" s="146"/>
      <c r="H128" s="147"/>
      <c r="I128" s="131"/>
      <c r="J128" s="148"/>
      <c r="K128" s="148"/>
      <c r="L128" s="132"/>
      <c r="M128" s="317"/>
      <c r="N128" s="295"/>
      <c r="O128" s="294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1:28" ht="16.8" x14ac:dyDescent="0.3">
      <c r="A129" s="912"/>
      <c r="B129" s="817"/>
      <c r="C129" s="149" t="s">
        <v>20</v>
      </c>
      <c r="D129" s="574">
        <v>802.2</v>
      </c>
      <c r="E129" s="574">
        <v>703</v>
      </c>
      <c r="F129" s="129"/>
      <c r="G129" s="146"/>
      <c r="H129" s="147"/>
      <c r="I129" s="131"/>
      <c r="J129" s="148"/>
      <c r="K129" s="148"/>
      <c r="L129" s="132"/>
      <c r="M129" s="317"/>
      <c r="N129" s="295"/>
      <c r="O129" s="294"/>
      <c r="P129" s="317"/>
      <c r="Q129" s="317"/>
      <c r="R129" s="317"/>
      <c r="S129" s="317"/>
      <c r="T129" s="317"/>
      <c r="U129" s="317"/>
      <c r="V129" s="317"/>
      <c r="W129" s="317"/>
      <c r="X129" s="317"/>
    </row>
    <row r="130" spans="1:28" ht="31.2" x14ac:dyDescent="0.3">
      <c r="A130" s="912"/>
      <c r="B130" s="817"/>
      <c r="C130" s="245" t="s">
        <v>68</v>
      </c>
      <c r="D130" s="467">
        <v>2109.4</v>
      </c>
      <c r="E130" s="467">
        <v>1848.8</v>
      </c>
      <c r="F130" s="129"/>
      <c r="G130" s="146"/>
      <c r="H130" s="147"/>
      <c r="I130" s="131"/>
      <c r="J130" s="148"/>
      <c r="K130" s="148"/>
      <c r="L130" s="132"/>
      <c r="M130" s="317"/>
      <c r="N130" s="295"/>
      <c r="O130" s="294"/>
      <c r="P130" s="317"/>
      <c r="Q130" s="317"/>
      <c r="R130" s="317"/>
      <c r="S130" s="317"/>
      <c r="T130" s="317"/>
      <c r="U130" s="317"/>
      <c r="V130" s="317"/>
      <c r="W130" s="317"/>
      <c r="X130" s="317"/>
    </row>
    <row r="131" spans="1:28" ht="63" thickBot="1" x14ac:dyDescent="0.35">
      <c r="A131" s="913"/>
      <c r="B131" s="826"/>
      <c r="C131" s="245" t="s">
        <v>328</v>
      </c>
      <c r="D131" s="199">
        <v>0</v>
      </c>
      <c r="E131" s="244">
        <v>0</v>
      </c>
      <c r="F131" s="152"/>
      <c r="G131" s="153"/>
      <c r="H131" s="154"/>
      <c r="I131" s="155"/>
      <c r="J131" s="156"/>
      <c r="K131" s="156"/>
      <c r="L131" s="157"/>
      <c r="M131" s="317"/>
      <c r="N131" s="295"/>
      <c r="O131" s="294"/>
      <c r="P131" s="317"/>
      <c r="Q131" s="317"/>
      <c r="R131" s="317"/>
      <c r="S131" s="317"/>
      <c r="T131" s="317"/>
      <c r="U131" s="317"/>
      <c r="V131" s="317"/>
      <c r="W131" s="317"/>
      <c r="X131" s="317"/>
    </row>
    <row r="132" spans="1:28" ht="159.6" customHeight="1" thickBot="1" x14ac:dyDescent="0.35">
      <c r="A132" s="919">
        <v>8</v>
      </c>
      <c r="B132" s="812" t="s">
        <v>231</v>
      </c>
      <c r="C132" s="287" t="s">
        <v>13</v>
      </c>
      <c r="D132" s="200">
        <f>D135+D138+D140</f>
        <v>441.34800000000001</v>
      </c>
      <c r="E132" s="201">
        <f>E135+E138+E140</f>
        <v>441.34800000000001</v>
      </c>
      <c r="F132" s="124">
        <f t="shared" si="27"/>
        <v>1</v>
      </c>
      <c r="G132" s="124">
        <f>E132/D132*100</f>
        <v>100</v>
      </c>
      <c r="H132" s="570">
        <f>(H135*E135+H138*E138+H140*E140)/E132</f>
        <v>90</v>
      </c>
      <c r="I132" s="125"/>
      <c r="J132" s="125"/>
      <c r="K132" s="125"/>
      <c r="L132" s="126">
        <f>IF(SUM(N133:V133)=SUM(N134:V134),1,IF(SUM(N133:V133)&lt;SUM(N134:V134),1,2))</f>
        <v>1</v>
      </c>
      <c r="M132" s="300" t="s">
        <v>14</v>
      </c>
      <c r="N132" s="299" t="s">
        <v>452</v>
      </c>
      <c r="O132" s="367" t="s">
        <v>487</v>
      </c>
      <c r="P132" s="299" t="s">
        <v>347</v>
      </c>
      <c r="Q132" s="357"/>
      <c r="R132" s="357"/>
      <c r="S132" s="357"/>
      <c r="T132" s="357"/>
      <c r="U132" s="357"/>
      <c r="V132" s="357"/>
      <c r="W132" s="317"/>
      <c r="X132" s="317"/>
    </row>
    <row r="133" spans="1:28" ht="27" customHeight="1" thickBot="1" x14ac:dyDescent="0.35">
      <c r="A133" s="920"/>
      <c r="B133" s="818"/>
      <c r="C133" s="288" t="s">
        <v>18</v>
      </c>
      <c r="D133" s="200">
        <f>D136+D141+D143+D146+D139</f>
        <v>441.34800000000001</v>
      </c>
      <c r="E133" s="200">
        <f>E136+E141+E143+E146+E139</f>
        <v>441.34800000000001</v>
      </c>
      <c r="F133" s="129"/>
      <c r="G133" s="129"/>
      <c r="H133" s="147"/>
      <c r="I133" s="131"/>
      <c r="J133" s="131"/>
      <c r="K133" s="131"/>
      <c r="L133" s="126"/>
      <c r="M133" s="310" t="s">
        <v>19</v>
      </c>
      <c r="N133" s="539">
        <v>1</v>
      </c>
      <c r="O133" s="659" t="s">
        <v>396</v>
      </c>
      <c r="P133" s="646">
        <v>1</v>
      </c>
      <c r="Q133" s="358"/>
      <c r="R133" s="358"/>
      <c r="S133" s="358"/>
      <c r="T133" s="358"/>
      <c r="U133" s="358"/>
      <c r="V133" s="358"/>
      <c r="W133" s="317"/>
      <c r="X133" s="317"/>
    </row>
    <row r="134" spans="1:28" ht="24" customHeight="1" thickBot="1" x14ac:dyDescent="0.35">
      <c r="A134" s="921"/>
      <c r="B134" s="813"/>
      <c r="C134" s="289" t="s">
        <v>20</v>
      </c>
      <c r="D134" s="618">
        <f>D137</f>
        <v>0</v>
      </c>
      <c r="E134" s="618">
        <f>E137</f>
        <v>0</v>
      </c>
      <c r="F134" s="134"/>
      <c r="G134" s="134"/>
      <c r="H134" s="167"/>
      <c r="I134" s="136"/>
      <c r="J134" s="136"/>
      <c r="K134" s="136"/>
      <c r="L134" s="126"/>
      <c r="M134" s="311" t="s">
        <v>21</v>
      </c>
      <c r="N134" s="542">
        <v>1</v>
      </c>
      <c r="O134" s="660" t="s">
        <v>396</v>
      </c>
      <c r="P134" s="647">
        <v>1</v>
      </c>
      <c r="Q134" s="358"/>
      <c r="R134" s="358"/>
      <c r="S134" s="358"/>
      <c r="T134" s="358"/>
      <c r="U134" s="358"/>
      <c r="V134" s="358"/>
      <c r="W134" s="317"/>
      <c r="X134" s="317"/>
    </row>
    <row r="135" spans="1:28" ht="91.2" customHeight="1" thickBot="1" x14ac:dyDescent="0.35">
      <c r="A135" s="922" t="s">
        <v>80</v>
      </c>
      <c r="B135" s="837" t="s">
        <v>233</v>
      </c>
      <c r="C135" s="202" t="s">
        <v>13</v>
      </c>
      <c r="D135" s="202">
        <f>D136</f>
        <v>331.34800000000001</v>
      </c>
      <c r="E135" s="202">
        <f>E136</f>
        <v>331.34800000000001</v>
      </c>
      <c r="F135" s="139">
        <f t="shared" si="27"/>
        <v>1</v>
      </c>
      <c r="G135" s="140">
        <f>E135/D135*100</f>
        <v>100</v>
      </c>
      <c r="H135" s="141">
        <f>I135+J135+K135</f>
        <v>90</v>
      </c>
      <c r="I135" s="142">
        <f>IF(G135=100,25,IF((G135&gt;90)*(G135&lt;100),0,IF((G135&gt;70)*(G135&lt;90),-10,-25)))</f>
        <v>25</v>
      </c>
      <c r="J135" s="143">
        <f>IF((F135&gt;0)*(F135&lt;5),10,0)</f>
        <v>10</v>
      </c>
      <c r="K135" s="143">
        <f t="shared" si="26"/>
        <v>55</v>
      </c>
      <c r="L135" s="126">
        <f>IF(SUM(N136:V136)=SUM(N137:V137),1,IF(SUM(N136:V136)&lt;SUM(N137:V137),1,2))</f>
        <v>1</v>
      </c>
      <c r="M135" s="300" t="s">
        <v>14</v>
      </c>
      <c r="N135" s="299" t="s">
        <v>345</v>
      </c>
      <c r="O135" s="367" t="s">
        <v>346</v>
      </c>
      <c r="P135" s="307" t="s">
        <v>347</v>
      </c>
      <c r="Q135" s="368"/>
      <c r="R135" s="368"/>
      <c r="S135" s="368"/>
      <c r="T135" s="368"/>
      <c r="U135" s="368"/>
      <c r="V135" s="368"/>
      <c r="W135" s="317"/>
      <c r="X135" s="317"/>
    </row>
    <row r="136" spans="1:28" ht="18.600000000000001" thickBot="1" x14ac:dyDescent="0.35">
      <c r="A136" s="911"/>
      <c r="B136" s="838"/>
      <c r="C136" s="186" t="s">
        <v>18</v>
      </c>
      <c r="D136" s="203">
        <v>331.34800000000001</v>
      </c>
      <c r="E136" s="203">
        <v>331.34800000000001</v>
      </c>
      <c r="F136" s="129"/>
      <c r="G136" s="146"/>
      <c r="H136" s="147"/>
      <c r="I136" s="131"/>
      <c r="J136" s="148"/>
      <c r="K136" s="148"/>
      <c r="L136" s="126"/>
      <c r="M136" s="310" t="s">
        <v>19</v>
      </c>
      <c r="N136" s="527">
        <v>1</v>
      </c>
      <c r="O136" s="555" t="s">
        <v>396</v>
      </c>
      <c r="P136" s="529">
        <v>1</v>
      </c>
      <c r="Q136" s="368"/>
      <c r="R136" s="368"/>
      <c r="S136" s="368"/>
      <c r="T136" s="368"/>
      <c r="U136" s="368"/>
      <c r="V136" s="368"/>
      <c r="W136" s="317"/>
      <c r="X136" s="317"/>
    </row>
    <row r="137" spans="1:28" ht="34.200000000000003" thickBot="1" x14ac:dyDescent="0.35">
      <c r="A137" s="910"/>
      <c r="B137" s="838"/>
      <c r="C137" s="186" t="s">
        <v>20</v>
      </c>
      <c r="D137" s="186">
        <v>0</v>
      </c>
      <c r="E137" s="186">
        <v>0</v>
      </c>
      <c r="F137" s="129"/>
      <c r="G137" s="146"/>
      <c r="H137" s="147"/>
      <c r="I137" s="131"/>
      <c r="J137" s="148"/>
      <c r="K137" s="148"/>
      <c r="L137" s="126"/>
      <c r="M137" s="311" t="s">
        <v>21</v>
      </c>
      <c r="N137" s="536">
        <v>1</v>
      </c>
      <c r="O137" s="556" t="s">
        <v>396</v>
      </c>
      <c r="P137" s="647">
        <v>1</v>
      </c>
      <c r="Q137" s="368"/>
      <c r="R137" s="368"/>
      <c r="S137" s="368"/>
      <c r="T137" s="368"/>
      <c r="U137" s="368"/>
      <c r="V137" s="370"/>
      <c r="W137" s="317"/>
      <c r="X137" s="317"/>
    </row>
    <row r="138" spans="1:28" ht="80.400000000000006" customHeight="1" thickBot="1" x14ac:dyDescent="0.35">
      <c r="A138" s="909" t="s">
        <v>87</v>
      </c>
      <c r="B138" s="838" t="s">
        <v>234</v>
      </c>
      <c r="C138" s="186" t="s">
        <v>13</v>
      </c>
      <c r="D138" s="186">
        <f>D139</f>
        <v>25</v>
      </c>
      <c r="E138" s="186">
        <f>E139</f>
        <v>25</v>
      </c>
      <c r="F138" s="129">
        <f t="shared" ref="F138:F205" si="36">E138/D138*100%</f>
        <v>1</v>
      </c>
      <c r="G138" s="146">
        <f>E138/D138*100</f>
        <v>100</v>
      </c>
      <c r="H138" s="147">
        <f>I138+J138+K138</f>
        <v>90</v>
      </c>
      <c r="I138" s="131">
        <f>IF(G138=100,25,IF((G138&gt;90)*(G138&lt;100),0,IF((G138&gt;70)*(G138&lt;90),-10,-25)))</f>
        <v>25</v>
      </c>
      <c r="J138" s="148">
        <f>IF((F138&gt;0)*(F138&lt;5),10,0)</f>
        <v>10</v>
      </c>
      <c r="K138" s="148">
        <f t="shared" ref="K138:K201" si="37">IF(L138=1,55,10)</f>
        <v>55</v>
      </c>
      <c r="L138" s="126">
        <f>IF(SUM(N139:V139)=SUM(N140:V140),1,IF(SUM(N139:V139)&lt;SUM(N140:V140),1,2))</f>
        <v>1</v>
      </c>
      <c r="M138" s="300" t="s">
        <v>14</v>
      </c>
      <c r="N138" s="299" t="s">
        <v>488</v>
      </c>
      <c r="O138" s="367" t="s">
        <v>489</v>
      </c>
      <c r="P138" s="307" t="s">
        <v>490</v>
      </c>
      <c r="Q138" s="368"/>
      <c r="R138" s="368"/>
      <c r="S138" s="368"/>
      <c r="T138" s="368"/>
      <c r="U138" s="368"/>
      <c r="V138" s="370"/>
      <c r="W138" s="317"/>
      <c r="X138" s="317"/>
    </row>
    <row r="139" spans="1:28" ht="17.399999999999999" thickBot="1" x14ac:dyDescent="0.35">
      <c r="A139" s="910"/>
      <c r="B139" s="838"/>
      <c r="C139" s="186" t="s">
        <v>18</v>
      </c>
      <c r="D139" s="150">
        <v>25</v>
      </c>
      <c r="E139" s="186">
        <v>25</v>
      </c>
      <c r="F139" s="129"/>
      <c r="G139" s="146"/>
      <c r="H139" s="147"/>
      <c r="I139" s="131"/>
      <c r="J139" s="148"/>
      <c r="K139" s="148"/>
      <c r="L139" s="126"/>
      <c r="M139" s="310" t="s">
        <v>19</v>
      </c>
      <c r="N139" s="527">
        <v>5</v>
      </c>
      <c r="O139" s="557">
        <v>50</v>
      </c>
      <c r="P139" s="529">
        <v>50</v>
      </c>
      <c r="Q139" s="326"/>
      <c r="R139" s="326"/>
      <c r="S139" s="326"/>
      <c r="T139" s="326"/>
      <c r="U139" s="326"/>
      <c r="V139" s="369"/>
      <c r="W139" s="317"/>
      <c r="X139" s="317"/>
    </row>
    <row r="140" spans="1:28" ht="69" customHeight="1" thickBot="1" x14ac:dyDescent="0.35">
      <c r="A140" s="909" t="s">
        <v>235</v>
      </c>
      <c r="B140" s="838" t="s">
        <v>236</v>
      </c>
      <c r="C140" s="186" t="s">
        <v>13</v>
      </c>
      <c r="D140" s="186">
        <f>D141</f>
        <v>85</v>
      </c>
      <c r="E140" s="186">
        <f>E141</f>
        <v>85</v>
      </c>
      <c r="F140" s="129">
        <f t="shared" si="36"/>
        <v>1</v>
      </c>
      <c r="G140" s="162">
        <f>E140/D140*100</f>
        <v>100</v>
      </c>
      <c r="H140" s="147">
        <f>I140+J140+K140</f>
        <v>90</v>
      </c>
      <c r="I140" s="131">
        <f>IF(G140=100,25,IF((G140&gt;90)*(G140&lt;100),0,IF((G140&gt;70)*(G140&lt;90),-10,-25)))</f>
        <v>25</v>
      </c>
      <c r="J140" s="148">
        <f>IF((F140&gt;0)*(F140&lt;5),10,0)</f>
        <v>10</v>
      </c>
      <c r="K140" s="148">
        <f t="shared" si="37"/>
        <v>55</v>
      </c>
      <c r="L140" s="126">
        <f>IF(SUM(N142:V142)=SUM(N143:V143),1,IF(SUM(N142:V142)&lt;SUM(N143:V143),1,2))</f>
        <v>1</v>
      </c>
      <c r="M140" s="311" t="s">
        <v>21</v>
      </c>
      <c r="N140" s="536">
        <v>9</v>
      </c>
      <c r="O140" s="929">
        <v>100</v>
      </c>
      <c r="P140" s="725">
        <v>56</v>
      </c>
      <c r="Q140" s="326"/>
      <c r="R140" s="326"/>
      <c r="S140" s="326"/>
      <c r="T140" s="326"/>
      <c r="U140" s="326"/>
      <c r="V140" s="326"/>
      <c r="W140" s="317"/>
      <c r="X140" s="317"/>
    </row>
    <row r="141" spans="1:28" ht="77.400000000000006" customHeight="1" thickBot="1" x14ac:dyDescent="0.35">
      <c r="A141" s="910"/>
      <c r="B141" s="838"/>
      <c r="C141" s="186" t="s">
        <v>18</v>
      </c>
      <c r="D141" s="186">
        <v>85</v>
      </c>
      <c r="E141" s="251">
        <v>85</v>
      </c>
      <c r="F141" s="129"/>
      <c r="G141" s="146"/>
      <c r="H141" s="147"/>
      <c r="I141" s="131"/>
      <c r="J141" s="148"/>
      <c r="K141" s="148"/>
      <c r="L141" s="132"/>
      <c r="M141" s="300" t="s">
        <v>14</v>
      </c>
      <c r="N141" s="367" t="s">
        <v>232</v>
      </c>
      <c r="O141" s="307" t="s">
        <v>348</v>
      </c>
      <c r="P141" s="362"/>
      <c r="Q141" s="362"/>
      <c r="R141" s="368"/>
      <c r="S141" s="368"/>
      <c r="T141" s="368"/>
      <c r="U141" s="368"/>
      <c r="V141" s="368"/>
      <c r="W141" s="317"/>
      <c r="X141" s="317"/>
    </row>
    <row r="142" spans="1:28" ht="50.25" customHeight="1" thickBot="1" x14ac:dyDescent="0.35">
      <c r="A142" s="909" t="s">
        <v>89</v>
      </c>
      <c r="B142" s="832" t="s">
        <v>237</v>
      </c>
      <c r="C142" s="198" t="s">
        <v>13</v>
      </c>
      <c r="D142" s="833" t="s">
        <v>163</v>
      </c>
      <c r="E142" s="834"/>
      <c r="F142" s="834"/>
      <c r="G142" s="834"/>
      <c r="H142" s="834"/>
      <c r="I142" s="834"/>
      <c r="J142" s="834"/>
      <c r="K142" s="834"/>
      <c r="L142" s="835"/>
      <c r="M142" s="310" t="s">
        <v>19</v>
      </c>
      <c r="N142" s="558">
        <v>3</v>
      </c>
      <c r="O142" s="324">
        <v>2</v>
      </c>
      <c r="P142" s="368"/>
      <c r="Q142" s="368"/>
      <c r="R142" s="368"/>
      <c r="S142" s="368"/>
      <c r="T142" s="368"/>
      <c r="U142" s="368"/>
      <c r="V142" s="368"/>
      <c r="W142" s="317"/>
      <c r="X142" s="317"/>
    </row>
    <row r="143" spans="1:28" ht="45.6" customHeight="1" thickBot="1" x14ac:dyDescent="0.35">
      <c r="A143" s="910"/>
      <c r="B143" s="832"/>
      <c r="C143" s="198" t="s">
        <v>18</v>
      </c>
      <c r="D143" s="198">
        <v>0</v>
      </c>
      <c r="E143" s="198">
        <v>0</v>
      </c>
      <c r="F143" s="280"/>
      <c r="G143" s="281"/>
      <c r="H143" s="460"/>
      <c r="I143" s="277"/>
      <c r="J143" s="278"/>
      <c r="K143" s="278"/>
      <c r="L143" s="279"/>
      <c r="M143" s="311" t="s">
        <v>21</v>
      </c>
      <c r="N143" s="462">
        <v>3</v>
      </c>
      <c r="O143" s="324">
        <v>2</v>
      </c>
      <c r="P143" s="368"/>
      <c r="Q143" s="368"/>
      <c r="R143" s="368"/>
      <c r="S143" s="368"/>
      <c r="T143" s="368"/>
      <c r="U143" s="368"/>
      <c r="V143" s="368"/>
      <c r="W143" s="317"/>
      <c r="X143" s="317"/>
    </row>
    <row r="144" spans="1:28" ht="79.95" customHeight="1" thickBot="1" x14ac:dyDescent="0.35">
      <c r="A144" s="909" t="s">
        <v>91</v>
      </c>
      <c r="B144" s="832" t="s">
        <v>238</v>
      </c>
      <c r="C144" s="648" t="s">
        <v>13</v>
      </c>
      <c r="D144" s="833" t="s">
        <v>163</v>
      </c>
      <c r="E144" s="834"/>
      <c r="F144" s="834"/>
      <c r="G144" s="834"/>
      <c r="H144" s="834"/>
      <c r="I144" s="834"/>
      <c r="J144" s="834"/>
      <c r="K144" s="834"/>
      <c r="L144" s="835"/>
      <c r="M144" s="359" t="s">
        <v>14</v>
      </c>
      <c r="N144" s="307"/>
      <c r="O144" s="362"/>
      <c r="P144" s="368"/>
      <c r="Q144" s="368"/>
      <c r="R144" s="368"/>
      <c r="S144" s="368"/>
      <c r="T144" s="368"/>
      <c r="U144" s="368"/>
      <c r="V144" s="368"/>
      <c r="W144" s="317"/>
      <c r="X144" s="317"/>
      <c r="Y144" s="317"/>
      <c r="Z144" s="317"/>
      <c r="AA144" s="317"/>
      <c r="AB144" s="317"/>
    </row>
    <row r="145" spans="1:28" ht="39.6" customHeight="1" x14ac:dyDescent="0.3">
      <c r="A145" s="911"/>
      <c r="B145" s="832"/>
      <c r="C145" s="186"/>
      <c r="D145" s="186"/>
      <c r="E145" s="186"/>
      <c r="F145" s="129"/>
      <c r="G145" s="146"/>
      <c r="H145" s="147"/>
      <c r="I145" s="131"/>
      <c r="J145" s="148"/>
      <c r="K145" s="148"/>
      <c r="L145" s="132"/>
      <c r="M145" s="320" t="s">
        <v>19</v>
      </c>
      <c r="N145" s="323"/>
      <c r="O145" s="362"/>
      <c r="P145" s="368"/>
      <c r="Q145" s="368"/>
      <c r="R145" s="368"/>
      <c r="S145" s="368"/>
      <c r="T145" s="368"/>
      <c r="U145" s="368"/>
      <c r="V145" s="368"/>
      <c r="W145" s="317"/>
      <c r="X145" s="317"/>
      <c r="Y145" s="317"/>
      <c r="Z145" s="317"/>
      <c r="AA145" s="317"/>
      <c r="AB145" s="317"/>
    </row>
    <row r="146" spans="1:28" ht="34.200000000000003" thickBot="1" x14ac:dyDescent="0.35">
      <c r="A146" s="923"/>
      <c r="B146" s="836"/>
      <c r="C146" s="204" t="s">
        <v>18</v>
      </c>
      <c r="D146" s="204">
        <v>0</v>
      </c>
      <c r="E146" s="252">
        <v>0</v>
      </c>
      <c r="F146" s="152"/>
      <c r="G146" s="153"/>
      <c r="H146" s="154"/>
      <c r="I146" s="155"/>
      <c r="J146" s="156"/>
      <c r="K146" s="156"/>
      <c r="L146" s="157"/>
      <c r="M146" s="371" t="s">
        <v>21</v>
      </c>
      <c r="N146" s="536"/>
      <c r="O146" s="362"/>
      <c r="P146" s="368"/>
      <c r="Q146" s="368"/>
      <c r="R146" s="368"/>
      <c r="S146" s="368"/>
      <c r="T146" s="368"/>
      <c r="U146" s="368"/>
      <c r="V146" s="368"/>
      <c r="W146" s="317"/>
      <c r="X146" s="317"/>
      <c r="Y146" s="317"/>
      <c r="Z146" s="317"/>
      <c r="AA146" s="317"/>
      <c r="AB146" s="317"/>
    </row>
    <row r="147" spans="1:28" ht="117.75" customHeight="1" thickBot="1" x14ac:dyDescent="0.35">
      <c r="A147" s="896">
        <v>9</v>
      </c>
      <c r="B147" s="812" t="s">
        <v>239</v>
      </c>
      <c r="C147" s="122" t="s">
        <v>13</v>
      </c>
      <c r="D147" s="468">
        <f>D151+D153+D157</f>
        <v>4464.3802300000007</v>
      </c>
      <c r="E147" s="468">
        <f>E151+E153+E157</f>
        <v>4464.3802300000007</v>
      </c>
      <c r="F147" s="124">
        <f t="shared" si="36"/>
        <v>1</v>
      </c>
      <c r="G147" s="124">
        <f>E147/D147*100</f>
        <v>100</v>
      </c>
      <c r="H147" s="205">
        <f>(H151*E151+H153*E153+H157*E157)/E147</f>
        <v>89.748005335110079</v>
      </c>
      <c r="I147" s="125"/>
      <c r="J147" s="125"/>
      <c r="K147" s="125"/>
      <c r="L147" s="126">
        <f>IF(SUM(N149:Y149)=SUM(N150:N150:Y150),1,IF(SUM(N149:Y149)&lt;SUM(N150:Y150),1,2))</f>
        <v>1</v>
      </c>
      <c r="M147" s="300" t="s">
        <v>43</v>
      </c>
      <c r="N147" s="300" t="s">
        <v>240</v>
      </c>
      <c r="O147" s="299" t="s">
        <v>241</v>
      </c>
      <c r="P147" s="299" t="s">
        <v>242</v>
      </c>
      <c r="Q147" s="299" t="s">
        <v>243</v>
      </c>
      <c r="R147" s="299" t="s">
        <v>244</v>
      </c>
      <c r="S147" s="299" t="s">
        <v>245</v>
      </c>
      <c r="T147" s="299" t="s">
        <v>246</v>
      </c>
      <c r="U147" s="299" t="s">
        <v>247</v>
      </c>
      <c r="V147" s="299" t="s">
        <v>248</v>
      </c>
      <c r="W147" s="299" t="s">
        <v>249</v>
      </c>
      <c r="X147" s="299" t="s">
        <v>334</v>
      </c>
      <c r="Y147" s="301" t="s">
        <v>453</v>
      </c>
      <c r="Z147" s="317"/>
      <c r="AA147" s="317"/>
      <c r="AB147" s="317"/>
    </row>
    <row r="148" spans="1:28" ht="48.6" customHeight="1" x14ac:dyDescent="0.3">
      <c r="A148" s="897"/>
      <c r="B148" s="818"/>
      <c r="C148" s="127" t="s">
        <v>18</v>
      </c>
      <c r="D148" s="206">
        <f>D152+D154</f>
        <v>2538.1392300000002</v>
      </c>
      <c r="E148" s="237">
        <f>E152+E154</f>
        <v>2538.1392300000002</v>
      </c>
      <c r="F148" s="129">
        <f t="shared" si="36"/>
        <v>1</v>
      </c>
      <c r="G148" s="129">
        <f>E148/D148*100</f>
        <v>100</v>
      </c>
      <c r="H148" s="130"/>
      <c r="I148" s="131"/>
      <c r="J148" s="131"/>
      <c r="K148" s="131"/>
      <c r="L148" s="132"/>
      <c r="M148" s="365" t="s">
        <v>44</v>
      </c>
      <c r="N148" s="330" t="s">
        <v>250</v>
      </c>
      <c r="O148" s="285" t="s">
        <v>107</v>
      </c>
      <c r="P148" s="331" t="s">
        <v>107</v>
      </c>
      <c r="Q148" s="344" t="s">
        <v>251</v>
      </c>
      <c r="R148" s="344" t="s">
        <v>251</v>
      </c>
      <c r="S148" s="344" t="s">
        <v>251</v>
      </c>
      <c r="T148" s="344" t="s">
        <v>252</v>
      </c>
      <c r="U148" s="344" t="s">
        <v>252</v>
      </c>
      <c r="V148" s="331" t="s">
        <v>250</v>
      </c>
      <c r="W148" s="344" t="s">
        <v>252</v>
      </c>
      <c r="X148" s="330" t="s">
        <v>250</v>
      </c>
      <c r="Y148" s="932" t="s">
        <v>107</v>
      </c>
      <c r="Z148" s="358"/>
      <c r="AA148" s="317"/>
      <c r="AB148" s="317"/>
    </row>
    <row r="149" spans="1:28" ht="31.2" x14ac:dyDescent="0.3">
      <c r="A149" s="897"/>
      <c r="B149" s="818"/>
      <c r="C149" s="127" t="s">
        <v>20</v>
      </c>
      <c r="D149" s="237">
        <f>D155</f>
        <v>1027.6410000000001</v>
      </c>
      <c r="E149" s="237">
        <f>E155</f>
        <v>1027.6410000000001</v>
      </c>
      <c r="F149" s="129">
        <f t="shared" si="36"/>
        <v>1</v>
      </c>
      <c r="G149" s="158">
        <f>E149/D149*100</f>
        <v>100</v>
      </c>
      <c r="H149" s="159"/>
      <c r="I149" s="131"/>
      <c r="J149" s="160"/>
      <c r="K149" s="160"/>
      <c r="L149" s="132"/>
      <c r="M149" s="366" t="s">
        <v>19</v>
      </c>
      <c r="N149" s="540">
        <v>8.6</v>
      </c>
      <c r="O149" s="324">
        <v>19.600000000000001</v>
      </c>
      <c r="P149" s="529">
        <v>19.7</v>
      </c>
      <c r="Q149" s="647">
        <v>67</v>
      </c>
      <c r="R149" s="647">
        <v>2170</v>
      </c>
      <c r="S149" s="647">
        <v>180</v>
      </c>
      <c r="T149" s="647">
        <v>0</v>
      </c>
      <c r="U149" s="647">
        <v>3</v>
      </c>
      <c r="V149" s="647">
        <v>20</v>
      </c>
      <c r="W149" s="647">
        <v>5</v>
      </c>
      <c r="X149" s="529">
        <v>1</v>
      </c>
      <c r="Y149" s="725">
        <v>100</v>
      </c>
      <c r="Z149" s="566"/>
      <c r="AA149" s="317"/>
      <c r="AB149" s="317"/>
    </row>
    <row r="150" spans="1:28" ht="51.75" customHeight="1" thickBot="1" x14ac:dyDescent="0.35">
      <c r="A150" s="479"/>
      <c r="B150" s="813"/>
      <c r="C150" s="133" t="s">
        <v>69</v>
      </c>
      <c r="D150" s="207">
        <f>D158</f>
        <v>898.6</v>
      </c>
      <c r="E150" s="207">
        <f>E158</f>
        <v>898.6</v>
      </c>
      <c r="F150" s="134">
        <f t="shared" si="36"/>
        <v>1</v>
      </c>
      <c r="G150" s="208">
        <f>E150/D150*100</f>
        <v>100</v>
      </c>
      <c r="H150" s="209"/>
      <c r="I150" s="136"/>
      <c r="J150" s="210"/>
      <c r="K150" s="210"/>
      <c r="L150" s="137"/>
      <c r="M150" s="355" t="s">
        <v>21</v>
      </c>
      <c r="N150" s="540">
        <v>8.6</v>
      </c>
      <c r="O150" s="324">
        <v>19.600000000000001</v>
      </c>
      <c r="P150" s="647">
        <v>19.7</v>
      </c>
      <c r="Q150" s="649">
        <v>5306</v>
      </c>
      <c r="R150" s="649">
        <v>7522</v>
      </c>
      <c r="S150" s="649">
        <v>263</v>
      </c>
      <c r="T150" s="649">
        <v>0</v>
      </c>
      <c r="U150" s="649">
        <v>0</v>
      </c>
      <c r="V150" s="649">
        <v>48</v>
      </c>
      <c r="W150" s="649">
        <v>2</v>
      </c>
      <c r="X150" s="649">
        <v>1</v>
      </c>
      <c r="Y150" s="725">
        <v>25</v>
      </c>
      <c r="Z150" s="358"/>
      <c r="AA150" s="317"/>
      <c r="AB150" s="317"/>
    </row>
    <row r="151" spans="1:28" ht="56.25" customHeight="1" x14ac:dyDescent="0.3">
      <c r="A151" s="922" t="s">
        <v>98</v>
      </c>
      <c r="B151" s="828" t="s">
        <v>253</v>
      </c>
      <c r="C151" s="138" t="s">
        <v>13</v>
      </c>
      <c r="D151" s="211">
        <f>D152</f>
        <v>25</v>
      </c>
      <c r="E151" s="211">
        <f>E152</f>
        <v>25</v>
      </c>
      <c r="F151" s="139">
        <f t="shared" si="36"/>
        <v>1</v>
      </c>
      <c r="G151" s="140">
        <f>E151/D151*100</f>
        <v>100</v>
      </c>
      <c r="H151" s="141">
        <f>I151+J151+K151</f>
        <v>45</v>
      </c>
      <c r="I151" s="142">
        <f>IF(G151=100,25,IF((G151&gt;90)*(G151&lt;100),0,IF((G151&gt;70)*(G151&lt;90),-10,-25)))</f>
        <v>25</v>
      </c>
      <c r="J151" s="143">
        <f>IF((F151&gt;0)*(F151&lt;5),10,0)</f>
        <v>10</v>
      </c>
      <c r="K151" s="143">
        <f t="shared" si="37"/>
        <v>10</v>
      </c>
      <c r="L151" s="144">
        <f>IF(SUM(M152:Y152)=SUM(M151:Y151),1,2)</f>
        <v>2</v>
      </c>
      <c r="M151" s="310" t="s">
        <v>19</v>
      </c>
      <c r="N151" s="540">
        <v>8.6</v>
      </c>
      <c r="O151" s="324">
        <v>19.600000000000001</v>
      </c>
      <c r="P151" s="647">
        <v>19.7</v>
      </c>
      <c r="Q151" s="528"/>
      <c r="R151" s="528"/>
      <c r="S151" s="528"/>
      <c r="T151" s="528"/>
      <c r="U151" s="528"/>
      <c r="V151" s="528"/>
      <c r="W151" s="528"/>
      <c r="X151" s="647">
        <v>1</v>
      </c>
      <c r="Y151" s="545">
        <v>100</v>
      </c>
      <c r="Z151" s="317"/>
      <c r="AA151" s="317"/>
      <c r="AB151" s="317"/>
    </row>
    <row r="152" spans="1:28" ht="42" customHeight="1" thickBot="1" x14ac:dyDescent="0.35">
      <c r="A152" s="910"/>
      <c r="B152" s="829"/>
      <c r="C152" s="145" t="s">
        <v>18</v>
      </c>
      <c r="D152" s="212">
        <v>25</v>
      </c>
      <c r="E152" s="212">
        <v>25</v>
      </c>
      <c r="F152" s="139"/>
      <c r="G152" s="140"/>
      <c r="H152" s="147"/>
      <c r="I152" s="131"/>
      <c r="J152" s="148"/>
      <c r="K152" s="148"/>
      <c r="L152" s="132"/>
      <c r="M152" s="343" t="s">
        <v>21</v>
      </c>
      <c r="N152" s="540">
        <v>8.6</v>
      </c>
      <c r="O152" s="324">
        <v>19.600000000000001</v>
      </c>
      <c r="P152" s="647">
        <v>19.7</v>
      </c>
      <c r="Q152" s="529"/>
      <c r="R152" s="529"/>
      <c r="S152" s="529"/>
      <c r="T152" s="529"/>
      <c r="U152" s="529"/>
      <c r="V152" s="529"/>
      <c r="W152" s="529"/>
      <c r="X152" s="649">
        <v>1</v>
      </c>
      <c r="Y152" s="546">
        <v>25</v>
      </c>
      <c r="Z152" s="317"/>
      <c r="AA152" s="317"/>
      <c r="AB152" s="317"/>
    </row>
    <row r="153" spans="1:28" ht="48" customHeight="1" x14ac:dyDescent="0.3">
      <c r="A153" s="909" t="s">
        <v>102</v>
      </c>
      <c r="B153" s="829" t="s">
        <v>254</v>
      </c>
      <c r="C153" s="149" t="s">
        <v>13</v>
      </c>
      <c r="D153" s="212">
        <f>D154+D155</f>
        <v>3540.7802300000003</v>
      </c>
      <c r="E153" s="236">
        <f>E154+E155</f>
        <v>3540.7802300000003</v>
      </c>
      <c r="F153" s="129">
        <f t="shared" si="36"/>
        <v>1</v>
      </c>
      <c r="G153" s="146">
        <f>E153/D153*100</f>
        <v>100</v>
      </c>
      <c r="H153" s="147">
        <f>I153+J153+K153</f>
        <v>90</v>
      </c>
      <c r="I153" s="131">
        <f>IF(G153=100,25,IF((G153&gt;90)*(G153&lt;100),0,IF((G153&gt;70)*(G153&lt;90),-10,-25)))</f>
        <v>25</v>
      </c>
      <c r="J153" s="148">
        <f>IF((F153&gt;0)*(F153&lt;5),10,0)</f>
        <v>10</v>
      </c>
      <c r="K153" s="148">
        <f t="shared" si="37"/>
        <v>55</v>
      </c>
      <c r="L153" s="132">
        <f>IF(SUM(M154:Y154)=SUM(M153:Y153),1,IF(SUM(M154:Y154)&gt;SUM(M153:Y153),1,2))</f>
        <v>1</v>
      </c>
      <c r="M153" s="343" t="s">
        <v>19</v>
      </c>
      <c r="N153" s="540"/>
      <c r="O153" s="324"/>
      <c r="P153" s="529"/>
      <c r="Q153" s="647">
        <v>67</v>
      </c>
      <c r="R153" s="647">
        <v>2170</v>
      </c>
      <c r="S153" s="647">
        <v>180</v>
      </c>
      <c r="T153" s="529"/>
      <c r="U153" s="529"/>
      <c r="V153" s="529"/>
      <c r="W153" s="529"/>
      <c r="X153" s="336"/>
      <c r="Y153" s="336"/>
      <c r="Z153" s="317"/>
      <c r="AA153" s="317"/>
      <c r="AB153" s="317"/>
    </row>
    <row r="154" spans="1:28" ht="17.399999999999999" thickBot="1" x14ac:dyDescent="0.35">
      <c r="A154" s="911"/>
      <c r="B154" s="829"/>
      <c r="C154" s="149" t="s">
        <v>18</v>
      </c>
      <c r="D154" s="236">
        <v>2513.1392300000002</v>
      </c>
      <c r="E154" s="243">
        <v>2513.1392300000002</v>
      </c>
      <c r="F154" s="129"/>
      <c r="G154" s="146"/>
      <c r="H154" s="147"/>
      <c r="I154" s="131"/>
      <c r="J154" s="148"/>
      <c r="K154" s="148"/>
      <c r="L154" s="132"/>
      <c r="M154" s="343" t="s">
        <v>21</v>
      </c>
      <c r="N154" s="540"/>
      <c r="O154" s="324"/>
      <c r="P154" s="529"/>
      <c r="Q154" s="649">
        <v>5306</v>
      </c>
      <c r="R154" s="649">
        <v>7522</v>
      </c>
      <c r="S154" s="649">
        <v>263</v>
      </c>
      <c r="T154" s="529"/>
      <c r="U154" s="529"/>
      <c r="V154" s="529"/>
      <c r="W154" s="529"/>
      <c r="X154" s="336"/>
      <c r="Y154" s="336"/>
      <c r="Z154" s="317"/>
      <c r="AA154" s="317"/>
      <c r="AB154" s="317"/>
    </row>
    <row r="155" spans="1:28" ht="16.8" x14ac:dyDescent="0.3">
      <c r="A155" s="911"/>
      <c r="B155" s="829"/>
      <c r="C155" s="149" t="s">
        <v>20</v>
      </c>
      <c r="D155" s="243">
        <v>1027.6410000000001</v>
      </c>
      <c r="E155" s="243">
        <v>1027.6410000000001</v>
      </c>
      <c r="F155" s="129"/>
      <c r="G155" s="146"/>
      <c r="H155" s="147"/>
      <c r="I155" s="131"/>
      <c r="J155" s="148"/>
      <c r="K155" s="148"/>
      <c r="L155" s="132"/>
      <c r="M155" s="349"/>
      <c r="N155" s="540"/>
      <c r="O155" s="324"/>
      <c r="P155" s="529"/>
      <c r="Q155" s="529"/>
      <c r="R155" s="529"/>
      <c r="S155" s="529"/>
      <c r="T155" s="529"/>
      <c r="U155" s="529"/>
      <c r="V155" s="529"/>
      <c r="W155" s="529"/>
      <c r="X155" s="336"/>
      <c r="Y155" s="336"/>
      <c r="Z155" s="317"/>
      <c r="AA155" s="317"/>
      <c r="AB155" s="317"/>
    </row>
    <row r="156" spans="1:28" ht="31.2" x14ac:dyDescent="0.3">
      <c r="A156" s="910"/>
      <c r="B156" s="829"/>
      <c r="C156" s="149" t="s">
        <v>68</v>
      </c>
      <c r="D156" s="212">
        <v>0</v>
      </c>
      <c r="E156" s="212">
        <v>0</v>
      </c>
      <c r="F156" s="129"/>
      <c r="G156" s="146"/>
      <c r="H156" s="147"/>
      <c r="I156" s="131"/>
      <c r="J156" s="148"/>
      <c r="K156" s="148"/>
      <c r="L156" s="132"/>
      <c r="M156" s="349"/>
      <c r="N156" s="540"/>
      <c r="O156" s="324"/>
      <c r="P156" s="529"/>
      <c r="Q156" s="529"/>
      <c r="R156" s="529"/>
      <c r="S156" s="529"/>
      <c r="T156" s="529"/>
      <c r="U156" s="529"/>
      <c r="V156" s="529"/>
      <c r="W156" s="529"/>
      <c r="X156" s="336"/>
      <c r="Y156" s="336"/>
      <c r="Z156" s="317"/>
      <c r="AA156" s="317"/>
      <c r="AB156" s="317"/>
    </row>
    <row r="157" spans="1:28" ht="33" customHeight="1" x14ac:dyDescent="0.3">
      <c r="A157" s="909" t="s">
        <v>255</v>
      </c>
      <c r="B157" s="829" t="s">
        <v>256</v>
      </c>
      <c r="C157" s="149" t="s">
        <v>13</v>
      </c>
      <c r="D157" s="212">
        <f>D158</f>
        <v>898.6</v>
      </c>
      <c r="E157" s="212">
        <f>E158</f>
        <v>898.6</v>
      </c>
      <c r="F157" s="129">
        <f t="shared" si="36"/>
        <v>1</v>
      </c>
      <c r="G157" s="146">
        <f>E157/D157*100</f>
        <v>100</v>
      </c>
      <c r="H157" s="147">
        <f>I157+J157+K157</f>
        <v>90</v>
      </c>
      <c r="I157" s="131">
        <f>IF(G157=100,25,IF((G157&gt;90)*(G157&lt;100),0,IF((G157&gt;70)*(G157&lt;90),-10,-25)))</f>
        <v>25</v>
      </c>
      <c r="J157" s="148">
        <f>IF((F157&gt;0)*(F157&lt;5),10,0)</f>
        <v>10</v>
      </c>
      <c r="K157" s="148">
        <f t="shared" si="37"/>
        <v>55</v>
      </c>
      <c r="L157" s="132">
        <f>IF(SUM(T157:Y157)=SUM(T158:Y158),1,IF(SUM(T157:Y157)&lt;SUM(T158:Y158),1,2))</f>
        <v>1</v>
      </c>
      <c r="M157" s="343" t="s">
        <v>19</v>
      </c>
      <c r="N157" s="540"/>
      <c r="O157" s="324"/>
      <c r="P157" s="529"/>
      <c r="Q157" s="529"/>
      <c r="R157" s="529"/>
      <c r="S157" s="529"/>
      <c r="T157" s="529">
        <v>0</v>
      </c>
      <c r="U157" s="529">
        <v>3</v>
      </c>
      <c r="V157" s="647">
        <v>20</v>
      </c>
      <c r="W157" s="647">
        <v>5</v>
      </c>
      <c r="X157" s="358"/>
      <c r="Y157" s="358"/>
      <c r="Z157" s="317"/>
      <c r="AA157" s="317"/>
      <c r="AB157" s="317"/>
    </row>
    <row r="158" spans="1:28" ht="63" thickBot="1" x14ac:dyDescent="0.35">
      <c r="A158" s="923"/>
      <c r="B158" s="830"/>
      <c r="C158" s="151" t="s">
        <v>333</v>
      </c>
      <c r="D158" s="213">
        <v>898.6</v>
      </c>
      <c r="E158" s="213">
        <v>898.6</v>
      </c>
      <c r="F158" s="152"/>
      <c r="G158" s="153"/>
      <c r="H158" s="154"/>
      <c r="I158" s="155"/>
      <c r="J158" s="156"/>
      <c r="K158" s="156"/>
      <c r="L158" s="157"/>
      <c r="M158" s="311" t="s">
        <v>21</v>
      </c>
      <c r="N158" s="540"/>
      <c r="O158" s="324"/>
      <c r="P158" s="529"/>
      <c r="Q158" s="529"/>
      <c r="R158" s="529"/>
      <c r="S158" s="529"/>
      <c r="T158" s="529">
        <v>0</v>
      </c>
      <c r="U158" s="529">
        <v>0</v>
      </c>
      <c r="V158" s="649">
        <v>48</v>
      </c>
      <c r="W158" s="725">
        <v>2</v>
      </c>
      <c r="X158" s="358"/>
      <c r="Y158" s="358"/>
      <c r="Z158" s="317"/>
      <c r="AA158" s="317"/>
      <c r="AB158" s="317"/>
    </row>
    <row r="159" spans="1:28" ht="138" customHeight="1" thickBot="1" x14ac:dyDescent="0.35">
      <c r="A159" s="919" t="s">
        <v>415</v>
      </c>
      <c r="B159" s="812" t="s">
        <v>257</v>
      </c>
      <c r="C159" s="122" t="s">
        <v>13</v>
      </c>
      <c r="D159" s="470">
        <f t="shared" ref="D159:E160" si="38">D165</f>
        <v>169649.26282</v>
      </c>
      <c r="E159" s="470">
        <f t="shared" si="38"/>
        <v>140840.61249</v>
      </c>
      <c r="F159" s="129">
        <f>(3312.77166)/140840.61249*100</f>
        <v>2.3521423270118298</v>
      </c>
      <c r="G159" s="124">
        <f>91</f>
        <v>91</v>
      </c>
      <c r="H159" s="451">
        <f>E165*H165/E159</f>
        <v>20</v>
      </c>
      <c r="I159" s="142">
        <f t="shared" ref="I159:I165" si="39">IF(G159=100,25,IF((G159&gt;90)*(G159&lt;100),0,IF((G159&gt;70)*(G159&lt;90),-10,-25)))</f>
        <v>0</v>
      </c>
      <c r="J159" s="131">
        <f t="shared" ref="J159:J165" si="40">IF((F159&gt;0)*(F159&lt;5),10,0)</f>
        <v>10</v>
      </c>
      <c r="K159" s="131">
        <f t="shared" si="37"/>
        <v>10</v>
      </c>
      <c r="L159" s="190">
        <f>IF(SUM(M161:Y161)=SUM(M160:Y160),1,2)</f>
        <v>2</v>
      </c>
      <c r="M159" s="298" t="s">
        <v>14</v>
      </c>
      <c r="N159" s="300" t="s">
        <v>258</v>
      </c>
      <c r="O159" s="300" t="s">
        <v>259</v>
      </c>
      <c r="P159" s="300" t="s">
        <v>260</v>
      </c>
      <c r="Q159" s="364" t="s">
        <v>261</v>
      </c>
      <c r="R159" s="300" t="s">
        <v>262</v>
      </c>
      <c r="S159" s="300" t="s">
        <v>263</v>
      </c>
      <c r="T159" s="300" t="s">
        <v>264</v>
      </c>
      <c r="U159" s="300" t="s">
        <v>265</v>
      </c>
      <c r="V159" s="300" t="s">
        <v>266</v>
      </c>
      <c r="W159" s="661" t="s">
        <v>267</v>
      </c>
      <c r="X159" s="300" t="s">
        <v>268</v>
      </c>
      <c r="Y159" s="300" t="s">
        <v>470</v>
      </c>
      <c r="Z159" s="369"/>
      <c r="AA159" s="369"/>
      <c r="AB159" s="317"/>
    </row>
    <row r="160" spans="1:28" ht="47.25" customHeight="1" thickBot="1" x14ac:dyDescent="0.35">
      <c r="A160" s="920"/>
      <c r="B160" s="818"/>
      <c r="C160" s="605" t="s">
        <v>336</v>
      </c>
      <c r="D160" s="127">
        <f t="shared" si="38"/>
        <v>4865.6082800000004</v>
      </c>
      <c r="E160" s="127">
        <f t="shared" si="38"/>
        <v>4389.7861499999999</v>
      </c>
      <c r="F160" s="129"/>
      <c r="G160" s="129"/>
      <c r="H160" s="130"/>
      <c r="I160" s="142"/>
      <c r="J160" s="131"/>
      <c r="K160" s="142"/>
      <c r="L160" s="190"/>
      <c r="M160" s="363" t="s">
        <v>19</v>
      </c>
      <c r="N160" s="560" t="s">
        <v>454</v>
      </c>
      <c r="O160" s="561" t="s">
        <v>456</v>
      </c>
      <c r="P160" s="324" t="s">
        <v>458</v>
      </c>
      <c r="Q160" s="324" t="s">
        <v>460</v>
      </c>
      <c r="R160" s="463" t="s">
        <v>462</v>
      </c>
      <c r="S160" s="463" t="s">
        <v>464</v>
      </c>
      <c r="T160" s="562">
        <v>25800</v>
      </c>
      <c r="U160" s="528">
        <v>3400</v>
      </c>
      <c r="V160" s="463" t="s">
        <v>466</v>
      </c>
      <c r="W160" s="463" t="s">
        <v>468</v>
      </c>
      <c r="X160" s="528">
        <v>6</v>
      </c>
      <c r="Y160" s="646">
        <v>500</v>
      </c>
      <c r="Z160" s="358"/>
      <c r="AA160" s="358"/>
      <c r="AB160" s="317"/>
    </row>
    <row r="161" spans="1:28" ht="48.75" customHeight="1" thickBot="1" x14ac:dyDescent="0.35">
      <c r="A161" s="920"/>
      <c r="B161" s="818"/>
      <c r="C161" s="127" t="s">
        <v>20</v>
      </c>
      <c r="D161" s="127">
        <f>D168</f>
        <v>53987.024239999999</v>
      </c>
      <c r="E161" s="127">
        <f>E168</f>
        <v>43728.648269999998</v>
      </c>
      <c r="F161" s="129"/>
      <c r="G161" s="129"/>
      <c r="H161" s="130"/>
      <c r="I161" s="142"/>
      <c r="J161" s="131"/>
      <c r="K161" s="142"/>
      <c r="L161" s="190"/>
      <c r="M161" s="340" t="s">
        <v>21</v>
      </c>
      <c r="N161" s="563" t="s">
        <v>455</v>
      </c>
      <c r="O161" s="930" t="s">
        <v>457</v>
      </c>
      <c r="P161" s="324" t="s">
        <v>459</v>
      </c>
      <c r="Q161" s="324" t="s">
        <v>461</v>
      </c>
      <c r="R161" s="324" t="s">
        <v>463</v>
      </c>
      <c r="S161" s="324" t="s">
        <v>465</v>
      </c>
      <c r="T161" s="931">
        <v>24729.3</v>
      </c>
      <c r="U161" s="725">
        <v>2555</v>
      </c>
      <c r="V161" s="564" t="s">
        <v>467</v>
      </c>
      <c r="W161" s="463" t="s">
        <v>469</v>
      </c>
      <c r="X161" s="666">
        <v>5</v>
      </c>
      <c r="Y161" s="725">
        <v>0</v>
      </c>
      <c r="Z161" s="358"/>
      <c r="AA161" s="358"/>
      <c r="AB161" s="317"/>
    </row>
    <row r="162" spans="1:28" ht="48.75" customHeight="1" x14ac:dyDescent="0.3">
      <c r="A162" s="920"/>
      <c r="B162" s="831"/>
      <c r="C162" s="215" t="s">
        <v>69</v>
      </c>
      <c r="D162" s="215">
        <f>D169</f>
        <v>932.22013000000004</v>
      </c>
      <c r="E162" s="215">
        <f>E169</f>
        <v>932.22013000000004</v>
      </c>
      <c r="F162" s="152"/>
      <c r="G162" s="152"/>
      <c r="H162" s="216"/>
      <c r="I162" s="142"/>
      <c r="J162" s="131"/>
      <c r="K162" s="142"/>
      <c r="L162" s="190"/>
      <c r="M162" s="361"/>
      <c r="N162" s="362"/>
      <c r="O162" s="356"/>
      <c r="P162" s="357"/>
      <c r="Q162" s="357"/>
      <c r="R162" s="357"/>
      <c r="S162" s="357"/>
      <c r="T162" s="358"/>
      <c r="U162" s="358"/>
      <c r="V162" s="357"/>
      <c r="W162" s="292"/>
      <c r="X162" s="337"/>
      <c r="Y162" s="358"/>
      <c r="Z162" s="336"/>
      <c r="AA162" s="336"/>
      <c r="AB162" s="317"/>
    </row>
    <row r="163" spans="1:28" ht="48.75" customHeight="1" thickBot="1" x14ac:dyDescent="0.35">
      <c r="A163" s="920"/>
      <c r="B163" s="831"/>
      <c r="C163" s="606" t="s">
        <v>335</v>
      </c>
      <c r="D163" s="249">
        <f>D167</f>
        <v>13.092829999999999</v>
      </c>
      <c r="E163" s="249">
        <f>E167</f>
        <v>13.092829999999999</v>
      </c>
      <c r="F163" s="152"/>
      <c r="G163" s="152"/>
      <c r="H163" s="216"/>
      <c r="I163" s="142"/>
      <c r="J163" s="131"/>
      <c r="K163" s="142"/>
      <c r="L163" s="190"/>
      <c r="M163" s="361"/>
      <c r="N163" s="362"/>
      <c r="O163" s="356"/>
      <c r="P163" s="357"/>
      <c r="Q163" s="357"/>
      <c r="R163" s="357"/>
      <c r="S163" s="357"/>
      <c r="T163" s="358"/>
      <c r="U163" s="358"/>
      <c r="V163" s="357"/>
      <c r="W163" s="292"/>
      <c r="X163" s="337"/>
      <c r="Y163" s="358"/>
      <c r="Z163" s="336"/>
      <c r="AA163" s="336"/>
      <c r="AB163" s="317"/>
    </row>
    <row r="164" spans="1:28" ht="108" customHeight="1" thickBot="1" x14ac:dyDescent="0.35">
      <c r="A164" s="921"/>
      <c r="B164" s="813"/>
      <c r="C164" s="133" t="s">
        <v>68</v>
      </c>
      <c r="D164" s="133">
        <f>D170</f>
        <v>109851.31733999999</v>
      </c>
      <c r="E164" s="133">
        <f>E170</f>
        <v>91776.865109999999</v>
      </c>
      <c r="F164" s="134"/>
      <c r="G164" s="134"/>
      <c r="H164" s="135"/>
      <c r="I164" s="142"/>
      <c r="J164" s="131"/>
      <c r="K164" s="142"/>
      <c r="L164" s="190"/>
      <c r="M164" s="298" t="s">
        <v>14</v>
      </c>
      <c r="N164" s="300" t="s">
        <v>269</v>
      </c>
      <c r="O164" s="300" t="s">
        <v>471</v>
      </c>
      <c r="P164" s="664" t="s">
        <v>491</v>
      </c>
      <c r="Q164" s="664" t="s">
        <v>472</v>
      </c>
      <c r="R164" s="300" t="s">
        <v>473</v>
      </c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</row>
    <row r="165" spans="1:28" ht="36.75" customHeight="1" thickBot="1" x14ac:dyDescent="0.35">
      <c r="A165" s="922" t="s">
        <v>108</v>
      </c>
      <c r="B165" s="828" t="s">
        <v>421</v>
      </c>
      <c r="C165" s="169" t="s">
        <v>13</v>
      </c>
      <c r="D165" s="169">
        <f>D166+D168+D170+D169+D167</f>
        <v>169649.26282</v>
      </c>
      <c r="E165" s="169">
        <f>E166+E168+E170+E167+E169</f>
        <v>140840.61249</v>
      </c>
      <c r="F165" s="129">
        <f>(3312.77166)/140840.61249*100</f>
        <v>2.3521423270118298</v>
      </c>
      <c r="G165" s="129">
        <v>91</v>
      </c>
      <c r="H165" s="888">
        <f>I165+J165+K165</f>
        <v>20</v>
      </c>
      <c r="I165" s="142">
        <f t="shared" si="39"/>
        <v>0</v>
      </c>
      <c r="J165" s="131">
        <f t="shared" si="40"/>
        <v>10</v>
      </c>
      <c r="K165" s="142">
        <f t="shared" si="37"/>
        <v>10</v>
      </c>
      <c r="L165" s="190">
        <f>IF(SUM(M165:Y165)=SUM(M166:Y166),1,2)</f>
        <v>2</v>
      </c>
      <c r="M165" s="569" t="s">
        <v>19</v>
      </c>
      <c r="N165" s="528">
        <v>72</v>
      </c>
      <c r="O165" s="663">
        <v>10.82</v>
      </c>
      <c r="P165" s="663">
        <v>5.5872400000000004</v>
      </c>
      <c r="Q165" s="663">
        <v>1</v>
      </c>
      <c r="R165" s="663">
        <v>1</v>
      </c>
      <c r="S165" s="317"/>
      <c r="T165" s="317"/>
      <c r="U165" s="317"/>
      <c r="V165" s="317"/>
      <c r="W165" s="317"/>
      <c r="X165" s="317"/>
    </row>
    <row r="166" spans="1:28" ht="47.4" thickBot="1" x14ac:dyDescent="0.35">
      <c r="A166" s="924"/>
      <c r="B166" s="829"/>
      <c r="C166" s="149" t="s">
        <v>336</v>
      </c>
      <c r="D166" s="622">
        <v>4865.6082800000004</v>
      </c>
      <c r="E166" s="622">
        <v>4389.7861499999999</v>
      </c>
      <c r="F166" s="129"/>
      <c r="G166" s="129"/>
      <c r="H166" s="130"/>
      <c r="I166" s="131"/>
      <c r="J166" s="131"/>
      <c r="K166" s="131"/>
      <c r="L166" s="132"/>
      <c r="M166" s="360" t="s">
        <v>21</v>
      </c>
      <c r="N166" s="649">
        <v>0</v>
      </c>
      <c r="O166" s="565">
        <v>0</v>
      </c>
      <c r="P166" s="565">
        <v>0</v>
      </c>
      <c r="Q166" s="565">
        <v>0</v>
      </c>
      <c r="R166" s="565">
        <v>0</v>
      </c>
      <c r="S166" s="317"/>
      <c r="T166" s="317"/>
      <c r="U166" s="317"/>
      <c r="V166" s="317"/>
      <c r="W166" s="317"/>
      <c r="X166" s="317"/>
    </row>
    <row r="167" spans="1:28" ht="31.2" x14ac:dyDescent="0.3">
      <c r="A167" s="924"/>
      <c r="B167" s="829"/>
      <c r="C167" s="248" t="s">
        <v>335</v>
      </c>
      <c r="D167" s="622">
        <v>13.092829999999999</v>
      </c>
      <c r="E167" s="622">
        <v>13.092829999999999</v>
      </c>
      <c r="F167" s="129"/>
      <c r="G167" s="129"/>
      <c r="H167" s="130"/>
      <c r="I167" s="131"/>
      <c r="J167" s="131"/>
      <c r="K167" s="131"/>
      <c r="L167" s="132"/>
      <c r="M167" s="361"/>
      <c r="N167" s="337"/>
      <c r="O167" s="350"/>
      <c r="P167" s="337"/>
      <c r="Q167" s="337"/>
      <c r="R167" s="317"/>
      <c r="S167" s="317"/>
      <c r="T167" s="317"/>
      <c r="U167" s="317"/>
      <c r="V167" s="317"/>
      <c r="W167" s="317"/>
      <c r="X167" s="317"/>
    </row>
    <row r="168" spans="1:28" ht="15.6" x14ac:dyDescent="0.3">
      <c r="A168" s="924"/>
      <c r="B168" s="829"/>
      <c r="C168" s="149" t="s">
        <v>20</v>
      </c>
      <c r="D168" s="150">
        <v>53987.024239999999</v>
      </c>
      <c r="E168" s="150">
        <v>43728.648269999998</v>
      </c>
      <c r="F168" s="129"/>
      <c r="G168" s="129"/>
      <c r="H168" s="130"/>
      <c r="I168" s="131"/>
      <c r="J168" s="131"/>
      <c r="K168" s="131"/>
      <c r="L168" s="132"/>
      <c r="M168" s="317"/>
      <c r="N168" s="295"/>
      <c r="O168" s="294"/>
      <c r="P168" s="317"/>
      <c r="Q168" s="317"/>
      <c r="R168" s="317"/>
      <c r="S168" s="317"/>
      <c r="T168" s="317"/>
      <c r="U168" s="317"/>
      <c r="V168" s="317"/>
      <c r="W168" s="317"/>
      <c r="X168" s="317"/>
    </row>
    <row r="169" spans="1:28" ht="31.2" x14ac:dyDescent="0.3">
      <c r="A169" s="924"/>
      <c r="B169" s="829"/>
      <c r="C169" s="151" t="s">
        <v>69</v>
      </c>
      <c r="D169" s="150">
        <v>932.22013000000004</v>
      </c>
      <c r="E169" s="150">
        <v>932.22013000000004</v>
      </c>
      <c r="F169" s="129"/>
      <c r="G169" s="129"/>
      <c r="H169" s="130"/>
      <c r="I169" s="131"/>
      <c r="J169" s="131"/>
      <c r="K169" s="131"/>
      <c r="L169" s="132"/>
      <c r="M169" s="317"/>
      <c r="N169" s="295"/>
      <c r="O169" s="294"/>
      <c r="P169" s="317"/>
      <c r="Q169" s="317"/>
      <c r="R169" s="317"/>
      <c r="S169" s="317"/>
      <c r="T169" s="317"/>
      <c r="U169" s="317"/>
      <c r="V169" s="317"/>
      <c r="W169" s="317"/>
      <c r="X169" s="317"/>
    </row>
    <row r="170" spans="1:28" ht="31.8" thickBot="1" x14ac:dyDescent="0.35">
      <c r="A170" s="925"/>
      <c r="B170" s="829"/>
      <c r="C170" s="149" t="s">
        <v>68</v>
      </c>
      <c r="D170" s="150">
        <v>109851.31733999999</v>
      </c>
      <c r="E170" s="150">
        <v>91776.865109999999</v>
      </c>
      <c r="F170" s="129"/>
      <c r="G170" s="129"/>
      <c r="H170" s="130"/>
      <c r="I170" s="131"/>
      <c r="J170" s="131"/>
      <c r="K170" s="131"/>
      <c r="L170" s="132"/>
      <c r="M170" s="317"/>
      <c r="N170" s="295"/>
      <c r="O170" s="294"/>
      <c r="P170" s="317"/>
      <c r="Q170" s="317"/>
      <c r="R170" s="317"/>
      <c r="S170" s="317"/>
      <c r="T170" s="317"/>
      <c r="U170" s="317"/>
      <c r="V170" s="317"/>
      <c r="W170" s="317"/>
      <c r="X170" s="317"/>
    </row>
    <row r="171" spans="1:28" ht="94.5" customHeight="1" thickBot="1" x14ac:dyDescent="0.35">
      <c r="A171" s="926">
        <v>11</v>
      </c>
      <c r="B171" s="818" t="s">
        <v>270</v>
      </c>
      <c r="C171" s="127" t="s">
        <v>13</v>
      </c>
      <c r="D171" s="471">
        <f t="shared" ref="D171:E173" si="41">D174+D177+D180</f>
        <v>37137.5</v>
      </c>
      <c r="E171" s="471">
        <f t="shared" si="41"/>
        <v>37007.299999999996</v>
      </c>
      <c r="F171" s="129">
        <f t="shared" si="36"/>
        <v>0.99649410972736441</v>
      </c>
      <c r="G171" s="129">
        <v>100</v>
      </c>
      <c r="H171" s="383">
        <f>(H174*E174+H177*E177+H180*E180)/E171</f>
        <v>80.053097632088807</v>
      </c>
      <c r="I171" s="131"/>
      <c r="J171" s="131"/>
      <c r="K171" s="131"/>
      <c r="L171" s="132">
        <f>IF(SUM(N173:Y173)=SUM(N174:N174:Y174),1,IF(SUM(N173:Y173)&lt;SUM(N174:Y174),1,2))</f>
        <v>1</v>
      </c>
      <c r="M171" s="300" t="s">
        <v>43</v>
      </c>
      <c r="N171" s="329" t="s">
        <v>277</v>
      </c>
      <c r="O171" s="328" t="s">
        <v>272</v>
      </c>
      <c r="P171" s="328" t="s">
        <v>273</v>
      </c>
      <c r="Q171" s="328" t="s">
        <v>274</v>
      </c>
      <c r="R171" s="328" t="s">
        <v>275</v>
      </c>
      <c r="S171" s="665" t="s">
        <v>276</v>
      </c>
      <c r="T171" s="662" t="s">
        <v>271</v>
      </c>
      <c r="U171" s="369"/>
      <c r="V171" s="317"/>
      <c r="W171" s="317"/>
      <c r="X171" s="317"/>
    </row>
    <row r="172" spans="1:28" ht="17.25" customHeight="1" thickBot="1" x14ac:dyDescent="0.35">
      <c r="A172" s="920"/>
      <c r="B172" s="818"/>
      <c r="C172" s="127" t="s">
        <v>18</v>
      </c>
      <c r="D172" s="127">
        <f t="shared" si="41"/>
        <v>35698.9</v>
      </c>
      <c r="E172" s="127">
        <f t="shared" si="41"/>
        <v>35583.1</v>
      </c>
      <c r="F172" s="129"/>
      <c r="G172" s="129"/>
      <c r="H172" s="130"/>
      <c r="I172" s="131"/>
      <c r="J172" s="131"/>
      <c r="K172" s="131"/>
      <c r="L172" s="132"/>
      <c r="M172" s="306" t="s">
        <v>44</v>
      </c>
      <c r="N172" s="677" t="s">
        <v>107</v>
      </c>
      <c r="O172" s="678" t="s">
        <v>107</v>
      </c>
      <c r="P172" s="678" t="s">
        <v>107</v>
      </c>
      <c r="Q172" s="678" t="s">
        <v>48</v>
      </c>
      <c r="R172" s="678" t="s">
        <v>279</v>
      </c>
      <c r="S172" s="678" t="s">
        <v>279</v>
      </c>
      <c r="T172" s="304" t="s">
        <v>278</v>
      </c>
      <c r="U172" s="357"/>
      <c r="V172" s="317"/>
      <c r="W172" s="317"/>
      <c r="X172" s="317"/>
    </row>
    <row r="173" spans="1:28" ht="31.8" thickBot="1" x14ac:dyDescent="0.35">
      <c r="A173" s="927"/>
      <c r="B173" s="818"/>
      <c r="C173" s="127" t="s">
        <v>20</v>
      </c>
      <c r="D173" s="127">
        <f t="shared" si="41"/>
        <v>1438.6</v>
      </c>
      <c r="E173" s="127">
        <f t="shared" si="41"/>
        <v>1424.2</v>
      </c>
      <c r="F173" s="129"/>
      <c r="G173" s="158"/>
      <c r="H173" s="159"/>
      <c r="I173" s="131"/>
      <c r="J173" s="160"/>
      <c r="K173" s="160"/>
      <c r="L173" s="132"/>
      <c r="M173" s="373" t="s">
        <v>19</v>
      </c>
      <c r="N173" s="675">
        <v>100</v>
      </c>
      <c r="O173" s="531">
        <v>100</v>
      </c>
      <c r="P173" s="531">
        <v>100</v>
      </c>
      <c r="Q173" s="531">
        <v>46</v>
      </c>
      <c r="R173" s="531">
        <v>29.82</v>
      </c>
      <c r="S173" s="531">
        <v>2.4</v>
      </c>
      <c r="T173" s="679">
        <v>1</v>
      </c>
      <c r="U173" s="317"/>
      <c r="V173" s="317"/>
      <c r="W173" s="317"/>
      <c r="X173" s="317"/>
    </row>
    <row r="174" spans="1:28" ht="32.25" customHeight="1" thickBot="1" x14ac:dyDescent="0.35">
      <c r="A174" s="909" t="s">
        <v>121</v>
      </c>
      <c r="B174" s="815" t="s">
        <v>280</v>
      </c>
      <c r="C174" s="183" t="s">
        <v>13</v>
      </c>
      <c r="D174" s="183">
        <f>D175+D176</f>
        <v>196.5</v>
      </c>
      <c r="E174" s="183">
        <f>E175</f>
        <v>196.5</v>
      </c>
      <c r="F174" s="129">
        <f t="shared" si="36"/>
        <v>1</v>
      </c>
      <c r="G174" s="158">
        <f>E174/D174*100</f>
        <v>100</v>
      </c>
      <c r="H174" s="159">
        <f>I174+J174+K174</f>
        <v>90</v>
      </c>
      <c r="I174" s="131">
        <f>IF(G174=100,25,IF((G174&gt;90)*(G174&lt;100),0,IF((G174&gt;70)*(G174&lt;90),-10,-25)))</f>
        <v>25</v>
      </c>
      <c r="J174" s="160">
        <f>IF((F174&gt;0)*(F174&lt;5),10,0)</f>
        <v>10</v>
      </c>
      <c r="K174" s="160">
        <f t="shared" si="37"/>
        <v>55</v>
      </c>
      <c r="L174" s="132">
        <f>IF(SUM(M176:Y176)=SUM(M175:Y175),1,2)</f>
        <v>1</v>
      </c>
      <c r="M174" s="373" t="s">
        <v>21</v>
      </c>
      <c r="N174" s="680">
        <v>100</v>
      </c>
      <c r="O174" s="534">
        <v>100</v>
      </c>
      <c r="P174" s="534">
        <v>100</v>
      </c>
      <c r="Q174" s="534">
        <v>46</v>
      </c>
      <c r="R174" s="534">
        <v>29.82</v>
      </c>
      <c r="S174" s="534">
        <v>2.4</v>
      </c>
      <c r="T174" s="681">
        <v>1</v>
      </c>
      <c r="U174" s="317"/>
      <c r="V174" s="317"/>
      <c r="W174" s="317"/>
      <c r="X174" s="317"/>
    </row>
    <row r="175" spans="1:28" ht="17.25" customHeight="1" thickBot="1" x14ac:dyDescent="0.35">
      <c r="A175" s="911"/>
      <c r="B175" s="827"/>
      <c r="C175" s="183" t="s">
        <v>18</v>
      </c>
      <c r="D175" s="183">
        <v>196.5</v>
      </c>
      <c r="E175" s="246">
        <v>196.5</v>
      </c>
      <c r="F175" s="129"/>
      <c r="G175" s="129"/>
      <c r="H175" s="130"/>
      <c r="I175" s="131"/>
      <c r="J175" s="131"/>
      <c r="K175" s="131"/>
      <c r="L175" s="132"/>
      <c r="M175" s="373" t="s">
        <v>19</v>
      </c>
      <c r="N175" s="357"/>
      <c r="O175" s="357"/>
      <c r="P175" s="566"/>
      <c r="Q175" s="566"/>
      <c r="R175" s="357"/>
      <c r="S175" s="566"/>
      <c r="T175" s="463">
        <v>1</v>
      </c>
      <c r="U175" s="317"/>
      <c r="V175" s="317"/>
      <c r="W175" s="317"/>
      <c r="X175" s="317"/>
    </row>
    <row r="176" spans="1:28" ht="16.2" thickBot="1" x14ac:dyDescent="0.35">
      <c r="A176" s="910"/>
      <c r="B176" s="814"/>
      <c r="C176" s="183" t="s">
        <v>20</v>
      </c>
      <c r="D176" s="183">
        <v>0</v>
      </c>
      <c r="E176" s="183">
        <v>0</v>
      </c>
      <c r="F176" s="129"/>
      <c r="G176" s="129"/>
      <c r="H176" s="130"/>
      <c r="I176" s="131"/>
      <c r="J176" s="131"/>
      <c r="K176" s="131"/>
      <c r="L176" s="132"/>
      <c r="M176" s="373" t="s">
        <v>21</v>
      </c>
      <c r="N176" s="357"/>
      <c r="O176" s="357"/>
      <c r="P176" s="566"/>
      <c r="Q176" s="566"/>
      <c r="R176" s="357"/>
      <c r="S176" s="566"/>
      <c r="T176" s="537">
        <v>1</v>
      </c>
      <c r="U176" s="317"/>
      <c r="V176" s="317"/>
      <c r="W176" s="317"/>
      <c r="X176" s="317"/>
    </row>
    <row r="177" spans="1:24" ht="17.25" customHeight="1" thickBot="1" x14ac:dyDescent="0.35">
      <c r="A177" s="909" t="s">
        <v>123</v>
      </c>
      <c r="B177" s="815" t="s">
        <v>281</v>
      </c>
      <c r="C177" s="183" t="s">
        <v>13</v>
      </c>
      <c r="D177" s="596">
        <f>D178+D179</f>
        <v>34884.5</v>
      </c>
      <c r="E177" s="596">
        <f>E178+E179</f>
        <v>34757.1</v>
      </c>
      <c r="F177" s="217">
        <v>1</v>
      </c>
      <c r="G177" s="158">
        <v>100</v>
      </c>
      <c r="H177" s="159">
        <f>J177+K177</f>
        <v>80</v>
      </c>
      <c r="I177" s="131">
        <f>IF(G177=100,25,IF((G177&gt;90)*(G177&lt;100),0,IF((G177&gt;70)*(G177&lt;90),-10,-25)))</f>
        <v>25</v>
      </c>
      <c r="J177" s="160">
        <f>IF((F177&gt;0)*(F177&lt;5),20,0)</f>
        <v>20</v>
      </c>
      <c r="K177" s="160">
        <f>IF(L177=1,60,30)</f>
        <v>60</v>
      </c>
      <c r="L177" s="132">
        <f>IF(SUM(M178:Y178)=SUM(M177:Y177),1,2)</f>
        <v>1</v>
      </c>
      <c r="M177" s="373" t="s">
        <v>19</v>
      </c>
      <c r="N177" s="675">
        <v>100</v>
      </c>
      <c r="O177" s="531">
        <v>100</v>
      </c>
      <c r="P177" s="531">
        <v>100</v>
      </c>
      <c r="Q177" s="531">
        <v>46</v>
      </c>
      <c r="R177" s="531">
        <v>29.82</v>
      </c>
      <c r="S177" s="531">
        <v>2.4</v>
      </c>
      <c r="T177" s="532">
        <v>100</v>
      </c>
      <c r="U177" s="317"/>
      <c r="V177" s="317"/>
      <c r="W177" s="317"/>
      <c r="X177" s="317"/>
    </row>
    <row r="178" spans="1:24" ht="42" customHeight="1" thickBot="1" x14ac:dyDescent="0.35">
      <c r="A178" s="911"/>
      <c r="B178" s="827"/>
      <c r="C178" s="183" t="s">
        <v>18</v>
      </c>
      <c r="D178" s="602">
        <v>33445.9</v>
      </c>
      <c r="E178" s="602">
        <v>33332.9</v>
      </c>
      <c r="F178" s="129"/>
      <c r="G178" s="158"/>
      <c r="H178" s="159"/>
      <c r="I178" s="131"/>
      <c r="J178" s="160"/>
      <c r="K178" s="160"/>
      <c r="L178" s="132"/>
      <c r="M178" s="373" t="s">
        <v>21</v>
      </c>
      <c r="N178" s="676">
        <v>100</v>
      </c>
      <c r="O178" s="534">
        <v>100</v>
      </c>
      <c r="P178" s="534">
        <v>100</v>
      </c>
      <c r="Q178" s="534">
        <v>46</v>
      </c>
      <c r="R178" s="534">
        <v>29.82</v>
      </c>
      <c r="S178" s="534">
        <v>2.4</v>
      </c>
      <c r="T178" s="535">
        <v>100</v>
      </c>
      <c r="U178" s="317"/>
      <c r="V178" s="317"/>
      <c r="W178" s="317"/>
      <c r="X178" s="317"/>
    </row>
    <row r="179" spans="1:24" ht="56.25" customHeight="1" thickBot="1" x14ac:dyDescent="0.35">
      <c r="A179" s="910"/>
      <c r="B179" s="814"/>
      <c r="C179" s="183" t="s">
        <v>20</v>
      </c>
      <c r="D179" s="597">
        <v>1438.6</v>
      </c>
      <c r="E179" s="597">
        <v>1424.2</v>
      </c>
      <c r="F179" s="129"/>
      <c r="G179" s="158"/>
      <c r="H179" s="159"/>
      <c r="I179" s="131"/>
      <c r="J179" s="160"/>
      <c r="K179" s="160"/>
      <c r="L179" s="132"/>
      <c r="M179" s="347" t="s">
        <v>14</v>
      </c>
      <c r="N179" s="338" t="s">
        <v>475</v>
      </c>
      <c r="O179" s="338" t="s">
        <v>474</v>
      </c>
      <c r="P179" s="317"/>
      <c r="Q179" s="317"/>
      <c r="R179" s="317"/>
      <c r="S179" s="317"/>
      <c r="T179" s="317"/>
      <c r="U179" s="317"/>
      <c r="V179" s="317"/>
      <c r="W179" s="317"/>
      <c r="X179" s="317"/>
    </row>
    <row r="180" spans="1:24" ht="32.25" customHeight="1" thickBot="1" x14ac:dyDescent="0.35">
      <c r="A180" s="909" t="s">
        <v>125</v>
      </c>
      <c r="B180" s="819" t="s">
        <v>282</v>
      </c>
      <c r="C180" s="183" t="s">
        <v>13</v>
      </c>
      <c r="D180" s="596">
        <f>D181+D182</f>
        <v>2056.5</v>
      </c>
      <c r="E180" s="596">
        <f>E181+E182</f>
        <v>2053.6999999999998</v>
      </c>
      <c r="F180" s="129">
        <f t="shared" si="36"/>
        <v>0.99863846340870399</v>
      </c>
      <c r="G180" s="158">
        <v>100</v>
      </c>
      <c r="H180" s="159">
        <f>J180+K180</f>
        <v>80</v>
      </c>
      <c r="I180" s="131">
        <f>IF(G180=100,25,IF((G180&gt;90)*(G180&lt;100),0,IF((G180&gt;70)*(G180&lt;90),-10,-25)))</f>
        <v>25</v>
      </c>
      <c r="J180" s="160">
        <f>IF((F180&gt;0)*(F180&lt;5),20,0)</f>
        <v>20</v>
      </c>
      <c r="K180" s="160">
        <f>IF(L180=1,60,30)</f>
        <v>60</v>
      </c>
      <c r="L180" s="132">
        <f>IF(SUM(M181:Y181)=SUM(M180:Y180),1,2)</f>
        <v>1</v>
      </c>
      <c r="M180" s="373" t="s">
        <v>19</v>
      </c>
      <c r="N180" s="673">
        <v>17</v>
      </c>
      <c r="O180" s="673">
        <v>70</v>
      </c>
      <c r="P180" s="317"/>
      <c r="Q180" s="317"/>
      <c r="R180" s="317"/>
      <c r="S180" s="317"/>
      <c r="T180" s="317"/>
      <c r="U180" s="317"/>
      <c r="V180" s="317"/>
      <c r="W180" s="317"/>
      <c r="X180" s="317"/>
    </row>
    <row r="181" spans="1:24" ht="38.25" customHeight="1" thickBot="1" x14ac:dyDescent="0.35">
      <c r="A181" s="911"/>
      <c r="B181" s="819"/>
      <c r="C181" s="183" t="s">
        <v>18</v>
      </c>
      <c r="D181" s="597">
        <v>2056.5</v>
      </c>
      <c r="E181" s="602">
        <v>2053.6999999999998</v>
      </c>
      <c r="F181" s="129"/>
      <c r="G181" s="158"/>
      <c r="H181" s="159"/>
      <c r="I181" s="131"/>
      <c r="J181" s="160"/>
      <c r="K181" s="160"/>
      <c r="L181" s="132"/>
      <c r="M181" s="373" t="s">
        <v>21</v>
      </c>
      <c r="N181" s="674">
        <v>17</v>
      </c>
      <c r="O181" s="674">
        <v>70</v>
      </c>
      <c r="P181" s="317"/>
      <c r="Q181" s="317"/>
      <c r="R181" s="317"/>
      <c r="S181" s="317"/>
      <c r="T181" s="317"/>
      <c r="U181" s="317"/>
      <c r="V181" s="317"/>
      <c r="W181" s="317"/>
      <c r="X181" s="317"/>
    </row>
    <row r="182" spans="1:24" ht="16.2" thickBot="1" x14ac:dyDescent="0.35">
      <c r="A182" s="910"/>
      <c r="B182" s="819"/>
      <c r="C182" s="183" t="s">
        <v>20</v>
      </c>
      <c r="D182" s="183">
        <v>0</v>
      </c>
      <c r="E182" s="183">
        <v>0</v>
      </c>
      <c r="F182" s="129"/>
      <c r="G182" s="158"/>
      <c r="H182" s="159"/>
      <c r="I182" s="131"/>
      <c r="J182" s="160"/>
      <c r="K182" s="160"/>
      <c r="L182" s="132"/>
      <c r="M182" s="317"/>
      <c r="N182" s="295"/>
      <c r="O182" s="294"/>
      <c r="P182" s="317"/>
      <c r="Q182" s="317"/>
      <c r="R182" s="317"/>
      <c r="S182" s="317"/>
      <c r="T182" s="317"/>
      <c r="U182" s="317"/>
      <c r="V182" s="317"/>
      <c r="W182" s="317"/>
      <c r="X182" s="317"/>
    </row>
    <row r="183" spans="1:24" ht="81" customHeight="1" thickBot="1" x14ac:dyDescent="0.35">
      <c r="A183" s="909">
        <v>12</v>
      </c>
      <c r="B183" s="818" t="s">
        <v>283</v>
      </c>
      <c r="C183" s="127" t="s">
        <v>13</v>
      </c>
      <c r="D183" s="601">
        <f>D185</f>
        <v>13573.84</v>
      </c>
      <c r="E183" s="601">
        <f>E185</f>
        <v>13573.84</v>
      </c>
      <c r="F183" s="129">
        <f t="shared" si="36"/>
        <v>1</v>
      </c>
      <c r="G183" s="129">
        <f>E183/D183*100</f>
        <v>100</v>
      </c>
      <c r="H183" s="130">
        <f>E185*H185/E183</f>
        <v>80</v>
      </c>
      <c r="I183" s="131"/>
      <c r="J183" s="131"/>
      <c r="K183" s="131"/>
      <c r="L183" s="132">
        <f>IF(SUM(M184:Y184)=SUM(M185:Y185),1,2)</f>
        <v>1</v>
      </c>
      <c r="M183" s="300" t="s">
        <v>14</v>
      </c>
      <c r="N183" s="327" t="s">
        <v>284</v>
      </c>
      <c r="O183" s="329" t="s">
        <v>285</v>
      </c>
      <c r="P183" s="317"/>
      <c r="Q183" s="317"/>
      <c r="R183" s="317"/>
      <c r="S183" s="317"/>
      <c r="T183" s="317"/>
      <c r="U183" s="317"/>
      <c r="V183" s="317"/>
      <c r="W183" s="317"/>
      <c r="X183" s="317"/>
    </row>
    <row r="184" spans="1:24" ht="28.5" customHeight="1" x14ac:dyDescent="0.3">
      <c r="A184" s="910"/>
      <c r="B184" s="818"/>
      <c r="C184" s="127" t="s">
        <v>18</v>
      </c>
      <c r="D184" s="601">
        <f>D186</f>
        <v>13573.84</v>
      </c>
      <c r="E184" s="601">
        <f>E186</f>
        <v>13573.84</v>
      </c>
      <c r="F184" s="129"/>
      <c r="G184" s="129"/>
      <c r="H184" s="130"/>
      <c r="I184" s="131"/>
      <c r="J184" s="131"/>
      <c r="K184" s="131"/>
      <c r="L184" s="132"/>
      <c r="M184" s="374" t="s">
        <v>19</v>
      </c>
      <c r="N184" s="539">
        <v>100</v>
      </c>
      <c r="O184" s="538">
        <v>100</v>
      </c>
      <c r="P184" s="317"/>
      <c r="Q184" s="317"/>
      <c r="R184" s="317"/>
      <c r="S184" s="317"/>
      <c r="T184" s="317"/>
      <c r="U184" s="317"/>
      <c r="V184" s="317"/>
      <c r="W184" s="317"/>
      <c r="X184" s="317"/>
    </row>
    <row r="185" spans="1:24" ht="39.75" customHeight="1" thickBot="1" x14ac:dyDescent="0.35">
      <c r="A185" s="909" t="s">
        <v>286</v>
      </c>
      <c r="B185" s="819" t="s">
        <v>287</v>
      </c>
      <c r="C185" s="183" t="s">
        <v>13</v>
      </c>
      <c r="D185" s="602">
        <f>D186</f>
        <v>13573.84</v>
      </c>
      <c r="E185" s="602">
        <f>E186</f>
        <v>13573.84</v>
      </c>
      <c r="F185" s="129">
        <f>E185/D185*100%</f>
        <v>1</v>
      </c>
      <c r="G185" s="129">
        <f t="shared" ref="G185" si="42">E185/D185*100</f>
        <v>100</v>
      </c>
      <c r="H185" s="130">
        <f>J185+K185</f>
        <v>80</v>
      </c>
      <c r="I185" s="131">
        <f>IF(G185=100,25,IF((G185&gt;90)*(G185&lt;100),0,IF((G185&gt;70)*(G185&lt;90),-10,-25)))</f>
        <v>25</v>
      </c>
      <c r="J185" s="131">
        <f>IF((F185&gt;0)*(F185&lt;5),20,0)</f>
        <v>20</v>
      </c>
      <c r="K185" s="131">
        <f>IF(L185=1,60,30)</f>
        <v>60</v>
      </c>
      <c r="L185" s="132">
        <f>IF(SUM(M184:Y184)=SUM(M185:Y185),1,2)</f>
        <v>1</v>
      </c>
      <c r="M185" s="355" t="s">
        <v>21</v>
      </c>
      <c r="N185" s="559">
        <v>100</v>
      </c>
      <c r="O185" s="535">
        <v>100</v>
      </c>
      <c r="P185" s="317"/>
      <c r="Q185" s="317"/>
      <c r="R185" s="317"/>
      <c r="S185" s="317"/>
      <c r="T185" s="317"/>
      <c r="U185" s="317"/>
      <c r="V185" s="317"/>
      <c r="W185" s="317"/>
      <c r="X185" s="317"/>
    </row>
    <row r="186" spans="1:24" ht="43.5" customHeight="1" thickBot="1" x14ac:dyDescent="0.35">
      <c r="A186" s="923"/>
      <c r="B186" s="815"/>
      <c r="C186" s="189" t="s">
        <v>18</v>
      </c>
      <c r="D186" s="603">
        <v>13573.84</v>
      </c>
      <c r="E186" s="604">
        <v>13573.84</v>
      </c>
      <c r="F186" s="152"/>
      <c r="G186" s="152"/>
      <c r="H186" s="216"/>
      <c r="I186" s="155"/>
      <c r="J186" s="155"/>
      <c r="K186" s="155"/>
      <c r="L186" s="157"/>
      <c r="M186" s="317"/>
      <c r="N186" s="295"/>
      <c r="O186" s="294"/>
      <c r="P186" s="317"/>
      <c r="Q186" s="317"/>
      <c r="R186" s="317"/>
      <c r="S186" s="317"/>
      <c r="T186" s="317"/>
      <c r="U186" s="317"/>
      <c r="V186" s="317"/>
      <c r="W186" s="317"/>
      <c r="X186" s="317"/>
    </row>
    <row r="187" spans="1:24" ht="93" thickBot="1" x14ac:dyDescent="0.35">
      <c r="A187" s="922">
        <v>13</v>
      </c>
      <c r="B187" s="812" t="s">
        <v>288</v>
      </c>
      <c r="C187" s="122" t="s">
        <v>13</v>
      </c>
      <c r="D187" s="469">
        <f>D191+D189</f>
        <v>494</v>
      </c>
      <c r="E187" s="122">
        <f>E189+E191</f>
        <v>344</v>
      </c>
      <c r="F187" s="124">
        <f>E191/D191*100%</f>
        <v>1</v>
      </c>
      <c r="G187" s="124">
        <f>E191/D191*100</f>
        <v>100</v>
      </c>
      <c r="H187" s="721">
        <f>(D189*H189+E191*H191)/D187</f>
        <v>86.072874493927131</v>
      </c>
      <c r="I187" s="125"/>
      <c r="J187" s="125"/>
      <c r="K187" s="125"/>
      <c r="L187" s="126">
        <f>IF(SUM(N188:O188)=SUM(N189:O189),1,2)</f>
        <v>1</v>
      </c>
      <c r="M187" s="300" t="s">
        <v>14</v>
      </c>
      <c r="N187" s="665" t="s">
        <v>476</v>
      </c>
      <c r="O187" s="300" t="s">
        <v>477</v>
      </c>
      <c r="P187" s="345"/>
      <c r="Q187" s="317"/>
      <c r="R187" s="317"/>
      <c r="S187" s="317"/>
      <c r="T187" s="317"/>
      <c r="U187" s="317"/>
      <c r="V187" s="317"/>
      <c r="W187" s="317"/>
      <c r="X187" s="317"/>
    </row>
    <row r="188" spans="1:24" ht="16.2" thickBot="1" x14ac:dyDescent="0.35">
      <c r="A188" s="923"/>
      <c r="B188" s="813"/>
      <c r="C188" s="133" t="s">
        <v>18</v>
      </c>
      <c r="D188" s="215">
        <f>D190+D192</f>
        <v>494</v>
      </c>
      <c r="E188" s="215">
        <f>E190+E192</f>
        <v>344</v>
      </c>
      <c r="F188" s="152"/>
      <c r="G188" s="152"/>
      <c r="H188" s="216"/>
      <c r="I188" s="155"/>
      <c r="J188" s="155"/>
      <c r="K188" s="155"/>
      <c r="L188" s="137"/>
      <c r="M188" s="374" t="s">
        <v>19</v>
      </c>
      <c r="N188" s="557">
        <v>0</v>
      </c>
      <c r="O188" s="683">
        <v>0</v>
      </c>
      <c r="P188" s="358"/>
      <c r="Q188" s="317"/>
      <c r="R188" s="317"/>
      <c r="S188" s="317"/>
      <c r="T188" s="317"/>
      <c r="U188" s="317"/>
      <c r="V188" s="317"/>
      <c r="W188" s="317"/>
      <c r="X188" s="317"/>
    </row>
    <row r="189" spans="1:24" ht="37.5" customHeight="1" thickBot="1" x14ac:dyDescent="0.35">
      <c r="A189" s="922" t="s">
        <v>289</v>
      </c>
      <c r="B189" s="814" t="s">
        <v>290</v>
      </c>
      <c r="C189" s="580" t="s">
        <v>13</v>
      </c>
      <c r="D189" s="596">
        <f>D190</f>
        <v>150</v>
      </c>
      <c r="E189" s="596">
        <f>E190</f>
        <v>0</v>
      </c>
      <c r="F189" s="720">
        <v>100</v>
      </c>
      <c r="G189" s="720">
        <v>100</v>
      </c>
      <c r="H189" s="159">
        <f t="shared" ref="H189:H190" si="43">J189+K189</f>
        <v>100</v>
      </c>
      <c r="I189" s="131">
        <f t="shared" ref="I189" si="44">IF(G189=100,25,IF((G189&gt;90)*(G189&lt;100),0,IF((G189&gt;70)*(G189&lt;90),-10,-25)))</f>
        <v>25</v>
      </c>
      <c r="J189" s="160">
        <f>IF((F189&gt;0)*(F189&lt;5),20,IF((F189&gt;5)*(F189&lt;11),30,IF((F189&gt;11)*(F189&lt;101),40,0)))</f>
        <v>40</v>
      </c>
      <c r="K189" s="160">
        <f t="shared" ref="K189" si="45">IF(L189=1,60,30)</f>
        <v>60</v>
      </c>
      <c r="L189" s="144">
        <f>IF(SUM(Q190:R190)=SUM(Q191:R191),1,2)</f>
        <v>1</v>
      </c>
      <c r="M189" s="355" t="s">
        <v>21</v>
      </c>
      <c r="N189" s="682">
        <v>0</v>
      </c>
      <c r="O189" s="683">
        <v>0</v>
      </c>
      <c r="P189" s="300" t="s">
        <v>14</v>
      </c>
      <c r="Q189" s="664" t="s">
        <v>291</v>
      </c>
      <c r="R189" s="317"/>
      <c r="S189" s="317"/>
      <c r="T189" s="317"/>
      <c r="U189" s="317"/>
      <c r="V189" s="317"/>
      <c r="W189" s="317"/>
      <c r="X189" s="317"/>
    </row>
    <row r="190" spans="1:24" ht="40.200000000000003" thickBot="1" x14ac:dyDescent="0.35">
      <c r="A190" s="910"/>
      <c r="B190" s="819"/>
      <c r="C190" s="582" t="s">
        <v>18</v>
      </c>
      <c r="D190" s="596">
        <v>150</v>
      </c>
      <c r="E190" s="596">
        <v>0</v>
      </c>
      <c r="F190" s="598"/>
      <c r="G190" s="598"/>
      <c r="H190" s="159">
        <f t="shared" si="43"/>
        <v>0</v>
      </c>
      <c r="I190" s="131"/>
      <c r="J190" s="160"/>
      <c r="K190" s="160"/>
      <c r="L190" s="132"/>
      <c r="M190" s="300" t="s">
        <v>14</v>
      </c>
      <c r="N190" s="664" t="s">
        <v>291</v>
      </c>
      <c r="O190" s="357"/>
      <c r="P190" s="319" t="s">
        <v>19</v>
      </c>
      <c r="Q190" s="683">
        <v>0</v>
      </c>
      <c r="R190" s="317"/>
      <c r="S190" s="317"/>
      <c r="T190" s="317"/>
      <c r="U190" s="317"/>
      <c r="V190" s="317"/>
      <c r="W190" s="317"/>
      <c r="X190" s="317"/>
    </row>
    <row r="191" spans="1:24" ht="36.75" customHeight="1" thickBot="1" x14ac:dyDescent="0.35">
      <c r="A191" s="909" t="s">
        <v>292</v>
      </c>
      <c r="B191" s="819" t="s">
        <v>293</v>
      </c>
      <c r="C191" s="183" t="s">
        <v>13</v>
      </c>
      <c r="D191" s="218">
        <f>D192</f>
        <v>344</v>
      </c>
      <c r="E191" s="218">
        <f>E192</f>
        <v>344</v>
      </c>
      <c r="F191" s="129">
        <f t="shared" si="36"/>
        <v>1</v>
      </c>
      <c r="G191" s="158">
        <f>E191/D191*100</f>
        <v>100</v>
      </c>
      <c r="H191" s="159">
        <f>J191+K191</f>
        <v>80</v>
      </c>
      <c r="I191" s="131">
        <f>IF(G191=100,25,IF((G191&gt;90)*(G191&lt;100),0,IF((G191&gt;70)*(G191&lt;90),-10,-25)))</f>
        <v>25</v>
      </c>
      <c r="J191" s="160">
        <f>IF((F191&gt;0)*(F191&lt;5),20,0)</f>
        <v>20</v>
      </c>
      <c r="K191" s="160">
        <f>IF(L191=1,60,30)</f>
        <v>60</v>
      </c>
      <c r="L191" s="132">
        <f>IF(SUM(N191:O191)=SUM(N192:O192),1,2)</f>
        <v>1</v>
      </c>
      <c r="M191" s="319" t="s">
        <v>19</v>
      </c>
      <c r="N191" s="683">
        <v>0</v>
      </c>
      <c r="O191" s="345"/>
      <c r="P191" s="319" t="s">
        <v>21</v>
      </c>
      <c r="Q191" s="683">
        <v>0</v>
      </c>
      <c r="R191" s="317"/>
      <c r="S191" s="317"/>
      <c r="T191" s="317"/>
      <c r="U191" s="317"/>
      <c r="V191" s="317"/>
      <c r="W191" s="317"/>
      <c r="X191" s="317"/>
    </row>
    <row r="192" spans="1:24" ht="78" customHeight="1" thickBot="1" x14ac:dyDescent="0.35">
      <c r="A192" s="910"/>
      <c r="B192" s="819"/>
      <c r="C192" s="183" t="s">
        <v>18</v>
      </c>
      <c r="D192" s="218">
        <v>344</v>
      </c>
      <c r="E192" s="218">
        <v>344</v>
      </c>
      <c r="F192" s="129"/>
      <c r="G192" s="158"/>
      <c r="H192" s="159"/>
      <c r="I192" s="131"/>
      <c r="J192" s="160"/>
      <c r="K192" s="160"/>
      <c r="L192" s="157"/>
      <c r="M192" s="319" t="s">
        <v>21</v>
      </c>
      <c r="N192" s="683">
        <v>0</v>
      </c>
      <c r="O192" s="300" t="s">
        <v>14</v>
      </c>
      <c r="P192" s="687" t="s">
        <v>295</v>
      </c>
      <c r="Q192" s="317"/>
      <c r="R192" s="317"/>
      <c r="S192" s="317"/>
      <c r="T192" s="317"/>
      <c r="U192" s="317"/>
      <c r="V192" s="317"/>
      <c r="W192" s="317"/>
      <c r="X192" s="317"/>
    </row>
    <row r="193" spans="1:28" ht="34.5" customHeight="1" thickBot="1" x14ac:dyDescent="0.35">
      <c r="A193" s="909" t="s">
        <v>294</v>
      </c>
      <c r="B193" s="820" t="s">
        <v>114</v>
      </c>
      <c r="C193" s="170" t="s">
        <v>13</v>
      </c>
      <c r="D193" s="822" t="s">
        <v>163</v>
      </c>
      <c r="E193" s="823"/>
      <c r="F193" s="823"/>
      <c r="G193" s="823"/>
      <c r="H193" s="823"/>
      <c r="I193" s="823"/>
      <c r="J193" s="823"/>
      <c r="K193" s="823"/>
      <c r="L193" s="686">
        <f>IF(SUM(P193:Q193)=SUM(P194:Q194),1,2)</f>
        <v>2</v>
      </c>
      <c r="M193" s="369"/>
      <c r="N193" s="369"/>
      <c r="O193" s="319" t="s">
        <v>19</v>
      </c>
      <c r="P193" s="685">
        <v>90</v>
      </c>
      <c r="Q193" s="317"/>
      <c r="R193" s="317"/>
      <c r="S193" s="317"/>
      <c r="T193" s="317"/>
      <c r="U193" s="317"/>
      <c r="V193" s="317"/>
      <c r="W193" s="317"/>
      <c r="X193" s="317"/>
    </row>
    <row r="194" spans="1:28" ht="16.2" thickBot="1" x14ac:dyDescent="0.35">
      <c r="A194" s="923"/>
      <c r="B194" s="821"/>
      <c r="C194" s="175" t="s">
        <v>18</v>
      </c>
      <c r="D194" s="824"/>
      <c r="E194" s="825"/>
      <c r="F194" s="825"/>
      <c r="G194" s="825"/>
      <c r="H194" s="825"/>
      <c r="I194" s="825"/>
      <c r="J194" s="825"/>
      <c r="K194" s="825"/>
      <c r="L194" s="686"/>
      <c r="M194" s="684"/>
      <c r="N194" s="369"/>
      <c r="O194" s="319" t="s">
        <v>21</v>
      </c>
      <c r="P194" s="681">
        <v>96</v>
      </c>
      <c r="Q194" s="317"/>
      <c r="R194" s="317"/>
      <c r="S194" s="317"/>
      <c r="T194" s="317"/>
      <c r="U194" s="317"/>
      <c r="V194" s="317"/>
      <c r="W194" s="317"/>
      <c r="X194" s="317"/>
    </row>
    <row r="195" spans="1:28" ht="64.5" customHeight="1" thickBot="1" x14ac:dyDescent="0.35">
      <c r="A195" s="922">
        <v>14</v>
      </c>
      <c r="B195" s="812" t="s">
        <v>296</v>
      </c>
      <c r="C195" s="122" t="s">
        <v>13</v>
      </c>
      <c r="D195" s="122">
        <f>D197</f>
        <v>46.8</v>
      </c>
      <c r="E195" s="122">
        <f>E197</f>
        <v>46.8</v>
      </c>
      <c r="F195" s="124">
        <f t="shared" si="36"/>
        <v>1</v>
      </c>
      <c r="G195" s="124">
        <f>E195/D195*100</f>
        <v>100</v>
      </c>
      <c r="H195" s="375">
        <f>E197*H197/E195</f>
        <v>90</v>
      </c>
      <c r="I195" s="125"/>
      <c r="J195" s="125"/>
      <c r="K195" s="125"/>
      <c r="L195" s="126">
        <f>IF(SUM(M196:Y196)=SUM(M197:Y197),1,2)</f>
        <v>1</v>
      </c>
      <c r="M195" s="300" t="s">
        <v>14</v>
      </c>
      <c r="N195" s="300" t="s">
        <v>297</v>
      </c>
      <c r="O195" s="294"/>
      <c r="P195" s="317"/>
      <c r="Q195" s="317"/>
      <c r="R195" s="317"/>
      <c r="S195" s="317"/>
      <c r="T195" s="317"/>
      <c r="U195" s="317"/>
      <c r="V195" s="317"/>
      <c r="W195" s="317"/>
      <c r="X195" s="317"/>
    </row>
    <row r="196" spans="1:28" ht="16.2" thickBot="1" x14ac:dyDescent="0.35">
      <c r="A196" s="923"/>
      <c r="B196" s="813"/>
      <c r="C196" s="133" t="s">
        <v>18</v>
      </c>
      <c r="D196" s="133">
        <f>D198</f>
        <v>46.8</v>
      </c>
      <c r="E196" s="133">
        <f>E198</f>
        <v>46.8</v>
      </c>
      <c r="F196" s="134"/>
      <c r="G196" s="134"/>
      <c r="H196" s="135"/>
      <c r="I196" s="136"/>
      <c r="J196" s="136"/>
      <c r="K196" s="136"/>
      <c r="L196" s="137"/>
      <c r="M196" s="374" t="s">
        <v>19</v>
      </c>
      <c r="N196" s="553">
        <v>1</v>
      </c>
      <c r="O196" s="294"/>
      <c r="P196" s="317"/>
      <c r="Q196" s="317"/>
      <c r="R196" s="317"/>
      <c r="S196" s="317"/>
      <c r="T196" s="317"/>
      <c r="U196" s="317"/>
      <c r="V196" s="317"/>
      <c r="W196" s="317"/>
      <c r="X196" s="317"/>
    </row>
    <row r="197" spans="1:28" ht="32.25" customHeight="1" thickBot="1" x14ac:dyDescent="0.35">
      <c r="A197" s="922" t="s">
        <v>298</v>
      </c>
      <c r="B197" s="816" t="s">
        <v>299</v>
      </c>
      <c r="C197" s="169" t="s">
        <v>13</v>
      </c>
      <c r="D197" s="219">
        <f>D198</f>
        <v>46.8</v>
      </c>
      <c r="E197" s="219">
        <f>E198</f>
        <v>46.8</v>
      </c>
      <c r="F197" s="139">
        <f t="shared" si="36"/>
        <v>1</v>
      </c>
      <c r="G197" s="220">
        <f>E197/D197*100</f>
        <v>100</v>
      </c>
      <c r="H197" s="221">
        <f>I197+J197+K197</f>
        <v>90</v>
      </c>
      <c r="I197" s="142">
        <f>IF(G197=100,25,IF((G197&gt;90)*(G197&lt;100),0,IF((G197&gt;70)*(G197&lt;90),-10,-25)))</f>
        <v>25</v>
      </c>
      <c r="J197" s="222">
        <f>IF((F197&gt;0)*(F197&lt;5),10,0)</f>
        <v>10</v>
      </c>
      <c r="K197" s="222">
        <f t="shared" si="37"/>
        <v>55</v>
      </c>
      <c r="L197" s="144">
        <f>IF(SUM(M196:Y196)=SUM(M197:Y197),1,2)</f>
        <v>1</v>
      </c>
      <c r="M197" s="355" t="s">
        <v>21</v>
      </c>
      <c r="N197" s="567">
        <v>1</v>
      </c>
      <c r="O197" s="294"/>
      <c r="P197" s="317"/>
      <c r="Q197" s="317"/>
      <c r="R197" s="317"/>
      <c r="S197" s="317"/>
      <c r="T197" s="317"/>
      <c r="U197" s="317"/>
      <c r="V197" s="317"/>
      <c r="W197" s="317"/>
      <c r="X197" s="317"/>
    </row>
    <row r="198" spans="1:28" ht="82.5" customHeight="1" thickBot="1" x14ac:dyDescent="0.35">
      <c r="A198" s="923"/>
      <c r="B198" s="826"/>
      <c r="C198" s="151" t="s">
        <v>18</v>
      </c>
      <c r="D198" s="223">
        <v>46.8</v>
      </c>
      <c r="E198" s="223">
        <v>46.8</v>
      </c>
      <c r="F198" s="152"/>
      <c r="G198" s="176"/>
      <c r="H198" s="177"/>
      <c r="I198" s="155"/>
      <c r="J198" s="178"/>
      <c r="K198" s="178"/>
      <c r="L198" s="157"/>
      <c r="M198" s="317"/>
      <c r="N198" s="295"/>
      <c r="O198" s="294"/>
      <c r="P198" s="317"/>
      <c r="Q198" s="317"/>
      <c r="R198" s="317"/>
      <c r="S198" s="317"/>
      <c r="T198" s="317"/>
      <c r="U198" s="317"/>
      <c r="V198" s="317"/>
      <c r="W198" s="317"/>
      <c r="X198" s="317"/>
    </row>
    <row r="199" spans="1:28" ht="79.8" thickBot="1" x14ac:dyDescent="0.35">
      <c r="A199" s="922" t="s">
        <v>416</v>
      </c>
      <c r="B199" s="812" t="s">
        <v>300</v>
      </c>
      <c r="C199" s="122" t="s">
        <v>13</v>
      </c>
      <c r="D199" s="472">
        <f>D200</f>
        <v>3024.66</v>
      </c>
      <c r="E199" s="472">
        <f t="shared" ref="E199:E201" si="46">E200</f>
        <v>3024.66</v>
      </c>
      <c r="F199" s="124">
        <f t="shared" si="36"/>
        <v>1</v>
      </c>
      <c r="G199" s="124">
        <f>E199/D199*100</f>
        <v>100</v>
      </c>
      <c r="H199" s="375">
        <f>E201*H201/E199</f>
        <v>89.999999999999986</v>
      </c>
      <c r="I199" s="125"/>
      <c r="J199" s="125"/>
      <c r="K199" s="125"/>
      <c r="L199" s="126">
        <f>IF(SUM(M200:Y200)=SUM(M201:Y201),1,2)</f>
        <v>1</v>
      </c>
      <c r="M199" s="365" t="s">
        <v>14</v>
      </c>
      <c r="N199" s="352" t="s">
        <v>301</v>
      </c>
      <c r="O199" s="328" t="s">
        <v>302</v>
      </c>
      <c r="P199" s="329" t="s">
        <v>303</v>
      </c>
      <c r="Q199" s="317"/>
      <c r="R199" s="317"/>
      <c r="S199" s="317"/>
      <c r="T199" s="317"/>
      <c r="U199" s="317"/>
      <c r="V199" s="317"/>
      <c r="W199" s="317"/>
      <c r="X199" s="317"/>
    </row>
    <row r="200" spans="1:28" ht="42" customHeight="1" thickBot="1" x14ac:dyDescent="0.35">
      <c r="A200" s="923"/>
      <c r="B200" s="813"/>
      <c r="C200" s="133" t="s">
        <v>18</v>
      </c>
      <c r="D200" s="225">
        <f>D201</f>
        <v>3024.66</v>
      </c>
      <c r="E200" s="224">
        <f t="shared" si="46"/>
        <v>3024.66</v>
      </c>
      <c r="F200" s="134"/>
      <c r="G200" s="134"/>
      <c r="H200" s="135"/>
      <c r="I200" s="136"/>
      <c r="J200" s="136"/>
      <c r="K200" s="136"/>
      <c r="L200" s="137"/>
      <c r="M200" s="366" t="s">
        <v>19</v>
      </c>
      <c r="N200" s="548">
        <v>21056</v>
      </c>
      <c r="O200" s="463">
        <v>7</v>
      </c>
      <c r="P200" s="545">
        <v>1</v>
      </c>
      <c r="Q200" s="317"/>
      <c r="R200" s="317"/>
      <c r="S200" s="317"/>
      <c r="T200" s="317"/>
      <c r="U200" s="317"/>
      <c r="V200" s="317"/>
      <c r="W200" s="317"/>
      <c r="X200" s="317"/>
    </row>
    <row r="201" spans="1:28" ht="30.75" customHeight="1" thickBot="1" x14ac:dyDescent="0.35">
      <c r="A201" s="922" t="s">
        <v>304</v>
      </c>
      <c r="B201" s="816" t="s">
        <v>305</v>
      </c>
      <c r="C201" s="169" t="s">
        <v>13</v>
      </c>
      <c r="D201" s="695">
        <f>D202</f>
        <v>3024.66</v>
      </c>
      <c r="E201" s="634">
        <f t="shared" si="46"/>
        <v>3024.66</v>
      </c>
      <c r="F201" s="139">
        <f t="shared" si="36"/>
        <v>1</v>
      </c>
      <c r="G201" s="220">
        <f>E201/D201*100</f>
        <v>100</v>
      </c>
      <c r="H201" s="221">
        <f>I201+J201+K201</f>
        <v>90</v>
      </c>
      <c r="I201" s="142">
        <f>IF(G201=100,25,IF((G201&gt;90)*(G201&lt;100),0,IF((G201&gt;70)*(G201&lt;90),-10,-25)))</f>
        <v>25</v>
      </c>
      <c r="J201" s="222">
        <f>IF((F201&gt;0)*(F201&lt;5),10,0)</f>
        <v>10</v>
      </c>
      <c r="K201" s="222">
        <f t="shared" si="37"/>
        <v>55</v>
      </c>
      <c r="L201" s="144">
        <f>IF(SUM(M200:Y200)=SUM(M201:Y201),1,2)</f>
        <v>1</v>
      </c>
      <c r="M201" s="355" t="s">
        <v>21</v>
      </c>
      <c r="N201" s="568">
        <v>21056</v>
      </c>
      <c r="O201" s="534">
        <v>7</v>
      </c>
      <c r="P201" s="546">
        <v>1</v>
      </c>
      <c r="Q201" s="317"/>
      <c r="R201" s="317"/>
      <c r="S201" s="317"/>
      <c r="T201" s="317"/>
      <c r="U201" s="317"/>
      <c r="V201" s="317"/>
      <c r="W201" s="317"/>
      <c r="X201" s="317"/>
    </row>
    <row r="202" spans="1:28" ht="87.75" customHeight="1" thickBot="1" x14ac:dyDescent="0.35">
      <c r="A202" s="910"/>
      <c r="B202" s="817"/>
      <c r="C202" s="149" t="s">
        <v>18</v>
      </c>
      <c r="D202" s="187">
        <v>3024.66</v>
      </c>
      <c r="E202" s="635">
        <v>3024.66</v>
      </c>
      <c r="F202" s="129"/>
      <c r="G202" s="158"/>
      <c r="H202" s="159"/>
      <c r="I202" s="131"/>
      <c r="J202" s="160"/>
      <c r="K202" s="160"/>
      <c r="L202" s="132"/>
      <c r="M202" s="317"/>
      <c r="N202" s="295"/>
      <c r="O202" s="294"/>
      <c r="P202" s="317"/>
      <c r="Q202" s="317"/>
      <c r="R202" s="317"/>
      <c r="S202" s="317"/>
      <c r="T202" s="317"/>
      <c r="U202" s="317"/>
      <c r="V202" s="317"/>
      <c r="W202" s="317"/>
      <c r="X202" s="317"/>
    </row>
    <row r="203" spans="1:28" ht="95.25" customHeight="1" thickBot="1" x14ac:dyDescent="0.35">
      <c r="A203" s="909">
        <v>16</v>
      </c>
      <c r="B203" s="818" t="s">
        <v>306</v>
      </c>
      <c r="C203" s="127" t="s">
        <v>13</v>
      </c>
      <c r="D203" s="127">
        <f>D205</f>
        <v>83.205340000000007</v>
      </c>
      <c r="E203" s="127">
        <f>E205</f>
        <v>83.205340000000007</v>
      </c>
      <c r="F203" s="129">
        <f t="shared" si="36"/>
        <v>1</v>
      </c>
      <c r="G203" s="129">
        <f>E203/D203*100</f>
        <v>100</v>
      </c>
      <c r="H203" s="130">
        <f>E205*H205/E203</f>
        <v>90</v>
      </c>
      <c r="I203" s="131"/>
      <c r="J203" s="131"/>
      <c r="K203" s="131"/>
      <c r="L203" s="132">
        <f>IF(SUM(M204:Y204)=SUM(M205:Y205),1,2)</f>
        <v>1</v>
      </c>
      <c r="M203" s="365" t="s">
        <v>14</v>
      </c>
      <c r="N203" s="352" t="s">
        <v>307</v>
      </c>
      <c r="O203" s="328" t="s">
        <v>308</v>
      </c>
      <c r="P203" s="329" t="s">
        <v>309</v>
      </c>
      <c r="Q203" s="317"/>
      <c r="R203" s="317"/>
      <c r="S203" s="317"/>
      <c r="T203" s="317"/>
      <c r="U203" s="317"/>
      <c r="V203" s="317"/>
      <c r="W203" s="317"/>
      <c r="X203" s="317"/>
    </row>
    <row r="204" spans="1:28" ht="15.6" x14ac:dyDescent="0.3">
      <c r="A204" s="910"/>
      <c r="B204" s="818"/>
      <c r="C204" s="127" t="s">
        <v>18</v>
      </c>
      <c r="D204" s="127">
        <f>D206</f>
        <v>83.205340000000007</v>
      </c>
      <c r="E204" s="127">
        <f>E206</f>
        <v>83.205340000000007</v>
      </c>
      <c r="F204" s="129"/>
      <c r="G204" s="129"/>
      <c r="H204" s="130"/>
      <c r="I204" s="131"/>
      <c r="J204" s="131"/>
      <c r="K204" s="131"/>
      <c r="L204" s="132"/>
      <c r="M204" s="366" t="s">
        <v>19</v>
      </c>
      <c r="N204" s="548">
        <v>0</v>
      </c>
      <c r="O204" s="463">
        <v>0</v>
      </c>
      <c r="P204" s="538">
        <v>0</v>
      </c>
      <c r="Q204" s="317"/>
      <c r="R204" s="317"/>
      <c r="S204" s="317"/>
      <c r="T204" s="317"/>
      <c r="U204" s="317"/>
      <c r="V204" s="317"/>
      <c r="W204" s="317"/>
      <c r="X204" s="317"/>
    </row>
    <row r="205" spans="1:28" ht="40.5" customHeight="1" thickBot="1" x14ac:dyDescent="0.35">
      <c r="A205" s="909" t="s">
        <v>310</v>
      </c>
      <c r="B205" s="819" t="s">
        <v>311</v>
      </c>
      <c r="C205" s="183" t="s">
        <v>13</v>
      </c>
      <c r="D205" s="183">
        <f>D206</f>
        <v>83.205340000000007</v>
      </c>
      <c r="E205" s="183">
        <f>E206</f>
        <v>83.205340000000007</v>
      </c>
      <c r="F205" s="129">
        <f t="shared" si="36"/>
        <v>1</v>
      </c>
      <c r="G205" s="158">
        <f>E205/D205*100</f>
        <v>100</v>
      </c>
      <c r="H205" s="159">
        <f>I205+J205+K205</f>
        <v>90</v>
      </c>
      <c r="I205" s="131">
        <f>IF(G205=100,25,IF((G205&gt;90)*(G205&lt;100),0,IF((G205&gt;70)*(G205&lt;90),-10,-25)))</f>
        <v>25</v>
      </c>
      <c r="J205" s="160">
        <f>IF((F205&gt;0)*(F205&lt;5),10,0)</f>
        <v>10</v>
      </c>
      <c r="K205" s="160">
        <f t="shared" ref="K205:K213" si="47">IF(L205=1,55,10)</f>
        <v>55</v>
      </c>
      <c r="L205" s="132">
        <f>IF(SUM(M204:Y204)=SUM(M205:Y205),1,2)</f>
        <v>1</v>
      </c>
      <c r="M205" s="355" t="s">
        <v>21</v>
      </c>
      <c r="N205" s="568">
        <v>0</v>
      </c>
      <c r="O205" s="534">
        <v>0</v>
      </c>
      <c r="P205" s="535">
        <v>0</v>
      </c>
      <c r="Q205" s="317"/>
      <c r="R205" s="317"/>
      <c r="S205" s="317"/>
      <c r="T205" s="317"/>
      <c r="U205" s="317"/>
      <c r="V205" s="317"/>
      <c r="W205" s="317"/>
      <c r="X205" s="317"/>
    </row>
    <row r="206" spans="1:28" ht="57" customHeight="1" thickBot="1" x14ac:dyDescent="0.35">
      <c r="A206" s="923"/>
      <c r="B206" s="815"/>
      <c r="C206" s="189" t="s">
        <v>18</v>
      </c>
      <c r="D206" s="226">
        <v>83.205340000000007</v>
      </c>
      <c r="E206" s="226">
        <v>83.205340000000007</v>
      </c>
      <c r="F206" s="152"/>
      <c r="G206" s="176"/>
      <c r="H206" s="177"/>
      <c r="I206" s="155"/>
      <c r="J206" s="178"/>
      <c r="K206" s="178"/>
      <c r="L206" s="157"/>
      <c r="M206" s="317"/>
      <c r="N206" s="295"/>
      <c r="O206" s="294"/>
      <c r="P206" s="317"/>
      <c r="Q206" s="317"/>
      <c r="R206" s="317"/>
      <c r="S206" s="317"/>
      <c r="T206" s="317"/>
      <c r="U206" s="317"/>
      <c r="V206" s="317"/>
      <c r="W206" s="317"/>
      <c r="X206" s="317"/>
    </row>
    <row r="207" spans="1:28" ht="72.75" customHeight="1" thickBot="1" x14ac:dyDescent="0.35">
      <c r="A207" s="922">
        <v>17</v>
      </c>
      <c r="B207" s="812" t="s">
        <v>312</v>
      </c>
      <c r="C207" s="122" t="s">
        <v>13</v>
      </c>
      <c r="D207" s="122">
        <f>D209</f>
        <v>167.233</v>
      </c>
      <c r="E207" s="122">
        <f>E209</f>
        <v>167.233</v>
      </c>
      <c r="F207" s="124">
        <f t="shared" ref="F207:F213" si="48">E207/D207*100%</f>
        <v>1</v>
      </c>
      <c r="G207" s="124">
        <f>E207/D207*100</f>
        <v>100</v>
      </c>
      <c r="H207" s="375">
        <f>E209*H209/E207</f>
        <v>90</v>
      </c>
      <c r="I207" s="125"/>
      <c r="J207" s="125"/>
      <c r="K207" s="125"/>
      <c r="L207" s="126">
        <f>IF(SUM(M208:Y208)=SUM(M209:Y209),1,2)</f>
        <v>1</v>
      </c>
      <c r="M207" s="348" t="s">
        <v>14</v>
      </c>
      <c r="N207" s="352" t="s">
        <v>84</v>
      </c>
      <c r="O207" s="328" t="s">
        <v>350</v>
      </c>
      <c r="P207" s="329" t="s">
        <v>351</v>
      </c>
      <c r="Q207" s="336"/>
      <c r="R207" s="336"/>
      <c r="S207" s="336"/>
      <c r="T207" s="336"/>
      <c r="U207" s="336"/>
      <c r="V207" s="336"/>
      <c r="W207" s="336"/>
      <c r="X207" s="336"/>
      <c r="Y207" s="58"/>
      <c r="Z207" s="58"/>
      <c r="AA207" s="58"/>
      <c r="AB207" s="58"/>
    </row>
    <row r="208" spans="1:28" ht="16.2" thickBot="1" x14ac:dyDescent="0.35">
      <c r="A208" s="923"/>
      <c r="B208" s="813"/>
      <c r="C208" s="133" t="s">
        <v>18</v>
      </c>
      <c r="D208" s="133">
        <f>D210</f>
        <v>167.233</v>
      </c>
      <c r="E208" s="133">
        <f>E210</f>
        <v>167.233</v>
      </c>
      <c r="F208" s="134"/>
      <c r="G208" s="134"/>
      <c r="H208" s="135"/>
      <c r="I208" s="136"/>
      <c r="J208" s="136"/>
      <c r="K208" s="136"/>
      <c r="L208" s="137"/>
      <c r="M208" s="343" t="s">
        <v>19</v>
      </c>
      <c r="N208" s="548">
        <v>16.7</v>
      </c>
      <c r="O208" s="463">
        <v>0</v>
      </c>
      <c r="P208" s="463">
        <v>0</v>
      </c>
      <c r="Q208" s="317"/>
      <c r="R208" s="317"/>
      <c r="S208" s="317"/>
      <c r="T208" s="317"/>
      <c r="U208" s="317"/>
      <c r="V208" s="317"/>
      <c r="W208" s="317"/>
      <c r="X208" s="317"/>
    </row>
    <row r="209" spans="1:25" ht="56.25" customHeight="1" thickBot="1" x14ac:dyDescent="0.35">
      <c r="A209" s="922" t="s">
        <v>313</v>
      </c>
      <c r="B209" s="814" t="s">
        <v>349</v>
      </c>
      <c r="C209" s="181" t="s">
        <v>13</v>
      </c>
      <c r="D209" s="181">
        <f>D210</f>
        <v>167.233</v>
      </c>
      <c r="E209" s="181">
        <f>E210</f>
        <v>167.233</v>
      </c>
      <c r="F209" s="139">
        <f t="shared" si="48"/>
        <v>1</v>
      </c>
      <c r="G209" s="220">
        <f>E209/D209*100</f>
        <v>100</v>
      </c>
      <c r="H209" s="221">
        <f>I209+J209+K209</f>
        <v>90</v>
      </c>
      <c r="I209" s="142">
        <f>IF(G209=100,25,IF((G209&gt;90)*(G209&lt;100),0,IF((G209&gt;70)*(G209&lt;90),-10,-25)))</f>
        <v>25</v>
      </c>
      <c r="J209" s="222">
        <f>IF((F209&gt;0)*(F209&lt;5),10,0)</f>
        <v>10</v>
      </c>
      <c r="K209" s="222">
        <f t="shared" si="47"/>
        <v>55</v>
      </c>
      <c r="L209" s="144">
        <f>IF(SUM(M208:Y208)=SUM(M209:Y209),1,2)</f>
        <v>1</v>
      </c>
      <c r="M209" s="311" t="s">
        <v>21</v>
      </c>
      <c r="N209" s="563">
        <v>16.7</v>
      </c>
      <c r="O209" s="324">
        <v>0</v>
      </c>
      <c r="P209" s="324">
        <v>0</v>
      </c>
      <c r="Q209" s="317"/>
      <c r="R209" s="317"/>
      <c r="S209" s="317"/>
      <c r="T209" s="317"/>
      <c r="U209" s="317"/>
      <c r="V209" s="317"/>
      <c r="W209" s="317"/>
      <c r="X209" s="317"/>
    </row>
    <row r="210" spans="1:25" ht="50.25" customHeight="1" thickBot="1" x14ac:dyDescent="0.35">
      <c r="A210" s="923"/>
      <c r="B210" s="815"/>
      <c r="C210" s="189" t="s">
        <v>18</v>
      </c>
      <c r="D210" s="226">
        <v>167.233</v>
      </c>
      <c r="E210" s="226">
        <v>167.233</v>
      </c>
      <c r="F210" s="152"/>
      <c r="G210" s="152"/>
      <c r="H210" s="216"/>
      <c r="I210" s="155"/>
      <c r="J210" s="155"/>
      <c r="K210" s="155"/>
      <c r="L210" s="157"/>
      <c r="M210" s="317"/>
      <c r="N210" s="295"/>
      <c r="O210" s="294"/>
      <c r="P210" s="317"/>
      <c r="Q210" s="317"/>
      <c r="R210" s="317"/>
      <c r="S210" s="317"/>
      <c r="T210" s="317"/>
      <c r="U210" s="317"/>
      <c r="V210" s="317"/>
      <c r="W210" s="317"/>
      <c r="X210" s="317"/>
    </row>
    <row r="211" spans="1:25" ht="64.5" customHeight="1" thickBot="1" x14ac:dyDescent="0.35">
      <c r="A211" s="922">
        <v>18</v>
      </c>
      <c r="B211" s="812" t="s">
        <v>314</v>
      </c>
      <c r="C211" s="122" t="s">
        <v>13</v>
      </c>
      <c r="D211" s="122">
        <f>D213</f>
        <v>74</v>
      </c>
      <c r="E211" s="122">
        <f>E213</f>
        <v>74</v>
      </c>
      <c r="F211" s="124">
        <f t="shared" si="48"/>
        <v>1</v>
      </c>
      <c r="G211" s="124">
        <f>E211/D211*100</f>
        <v>100</v>
      </c>
      <c r="H211" s="451">
        <f>H213*E213/E211</f>
        <v>90</v>
      </c>
      <c r="I211" s="125"/>
      <c r="J211" s="125"/>
      <c r="K211" s="125"/>
      <c r="L211" s="126">
        <f>IF(SUM(N212:X212)=SUM(N213:X213),1,IF(SUM(N212:X212)&gt;SUM(N213:X213),1,2))</f>
        <v>1</v>
      </c>
      <c r="M211" s="353" t="s">
        <v>14</v>
      </c>
      <c r="N211" s="309" t="s">
        <v>480</v>
      </c>
      <c r="O211" s="309" t="s">
        <v>481</v>
      </c>
      <c r="P211" s="309" t="s">
        <v>315</v>
      </c>
      <c r="Q211" s="309" t="s">
        <v>316</v>
      </c>
      <c r="R211" s="301" t="s">
        <v>317</v>
      </c>
      <c r="S211" s="301" t="s">
        <v>318</v>
      </c>
      <c r="T211" s="301" t="s">
        <v>319</v>
      </c>
      <c r="U211" s="301" t="s">
        <v>320</v>
      </c>
      <c r="V211" s="301" t="s">
        <v>321</v>
      </c>
      <c r="W211" s="301" t="s">
        <v>322</v>
      </c>
      <c r="X211" s="301" t="s">
        <v>323</v>
      </c>
    </row>
    <row r="212" spans="1:25" ht="16.2" thickBot="1" x14ac:dyDescent="0.35">
      <c r="A212" s="923"/>
      <c r="B212" s="813"/>
      <c r="C212" s="697" t="s">
        <v>18</v>
      </c>
      <c r="D212" s="133">
        <f>D214</f>
        <v>74</v>
      </c>
      <c r="E212" s="133">
        <f>E214</f>
        <v>74</v>
      </c>
      <c r="F212" s="134"/>
      <c r="G212" s="124">
        <f t="shared" ref="G212:G215" si="49">E212/D212*100</f>
        <v>100</v>
      </c>
      <c r="H212" s="135"/>
      <c r="I212" s="136"/>
      <c r="J212" s="136"/>
      <c r="K212" s="136"/>
      <c r="L212" s="126"/>
      <c r="M212" s="354" t="s">
        <v>19</v>
      </c>
      <c r="N212" s="324">
        <v>18</v>
      </c>
      <c r="O212" s="324">
        <v>30</v>
      </c>
      <c r="P212" s="324">
        <v>3</v>
      </c>
      <c r="Q212" s="529">
        <v>35</v>
      </c>
      <c r="R212" s="529">
        <v>8</v>
      </c>
      <c r="S212" s="529">
        <v>0</v>
      </c>
      <c r="T212" s="529">
        <v>1200</v>
      </c>
      <c r="U212" s="529">
        <v>0.06</v>
      </c>
      <c r="V212" s="529">
        <v>0.08</v>
      </c>
      <c r="W212" s="529">
        <v>9</v>
      </c>
      <c r="X212" s="529">
        <v>7</v>
      </c>
    </row>
    <row r="213" spans="1:25" ht="24.75" customHeight="1" thickBot="1" x14ac:dyDescent="0.35">
      <c r="A213" s="922" t="s">
        <v>324</v>
      </c>
      <c r="B213" s="816" t="s">
        <v>325</v>
      </c>
      <c r="C213" s="169" t="s">
        <v>13</v>
      </c>
      <c r="D213" s="169">
        <f>D214</f>
        <v>74</v>
      </c>
      <c r="E213" s="169">
        <f>E214</f>
        <v>74</v>
      </c>
      <c r="F213" s="139">
        <f t="shared" si="48"/>
        <v>1</v>
      </c>
      <c r="G213" s="124">
        <f t="shared" si="49"/>
        <v>100</v>
      </c>
      <c r="H213" s="221">
        <f>I213+J213+K213</f>
        <v>90</v>
      </c>
      <c r="I213" s="142">
        <f>IF(G213=100,25,IF((G213&gt;90)*(G213&lt;100),0,IF((G213&gt;70)*(G213&lt;90),-10,-25)))</f>
        <v>25</v>
      </c>
      <c r="J213" s="222">
        <f>IF((F213&gt;0)*(F213&lt;5),10,0)</f>
        <v>10</v>
      </c>
      <c r="K213" s="222">
        <f t="shared" si="47"/>
        <v>55</v>
      </c>
      <c r="L213" s="126">
        <f>IF(SUM(N212:X212)=SUM(N213:X213),1,IF(SUM(N212:X212)&gt;SUM(N213:X213),1,2))</f>
        <v>1</v>
      </c>
      <c r="M213" s="355" t="s">
        <v>21</v>
      </c>
      <c r="N213" s="324">
        <v>16.8</v>
      </c>
      <c r="O213" s="324">
        <v>28.4</v>
      </c>
      <c r="P213" s="324">
        <v>2.1</v>
      </c>
      <c r="Q213" s="725">
        <v>40</v>
      </c>
      <c r="R213" s="725">
        <v>11.2</v>
      </c>
      <c r="S213" s="725">
        <v>0</v>
      </c>
      <c r="T213" s="725">
        <v>1000</v>
      </c>
      <c r="U213" s="725">
        <v>7.0000000000000007E-2</v>
      </c>
      <c r="V213" s="725">
        <v>0</v>
      </c>
      <c r="W213" s="725">
        <v>0</v>
      </c>
      <c r="X213" s="725">
        <v>1.4</v>
      </c>
      <c r="Y213" s="58"/>
    </row>
    <row r="214" spans="1:25" ht="38.25" customHeight="1" thickBot="1" x14ac:dyDescent="0.35">
      <c r="A214" s="910"/>
      <c r="B214" s="817"/>
      <c r="C214" s="227" t="s">
        <v>18</v>
      </c>
      <c r="D214" s="149">
        <v>74</v>
      </c>
      <c r="E214" s="619">
        <v>74</v>
      </c>
      <c r="F214" s="129"/>
      <c r="G214" s="124">
        <f t="shared" si="49"/>
        <v>100</v>
      </c>
      <c r="H214" s="221">
        <f t="shared" ref="H214:H215" si="50">I214+J214+K214</f>
        <v>0</v>
      </c>
      <c r="I214" s="131"/>
      <c r="J214" s="160"/>
      <c r="K214" s="160"/>
      <c r="L214" s="132"/>
      <c r="N214" s="120"/>
      <c r="O214" s="121"/>
    </row>
    <row r="215" spans="1:25" ht="28.5" customHeight="1" thickBot="1" x14ac:dyDescent="0.35">
      <c r="A215" s="479"/>
      <c r="B215" s="479" t="s">
        <v>128</v>
      </c>
      <c r="C215" s="480"/>
      <c r="D215" s="481">
        <f>D211+D207+D203+D199+D195+D187+D183+D171+D159+D147+D132+D115+D102+D96+D59+D45+D24+D3</f>
        <v>462388.69873</v>
      </c>
      <c r="E215" s="481">
        <f>E211+E207+E203+E199+E195+E187+E183+E171+E159+E147+E132+E115+E102+E96+E59+E45+E24+E3</f>
        <v>431272.17008000001</v>
      </c>
      <c r="F215" s="134"/>
      <c r="G215" s="124">
        <f t="shared" si="49"/>
        <v>93.270482445729129</v>
      </c>
      <c r="H215" s="221">
        <f t="shared" si="50"/>
        <v>0</v>
      </c>
      <c r="I215" s="136"/>
      <c r="J215" s="228"/>
      <c r="K215" s="228"/>
      <c r="L215" s="137"/>
      <c r="N215" s="120"/>
      <c r="O215" s="121"/>
    </row>
    <row r="216" spans="1:25" ht="15.6" hidden="1" outlineLevel="1" x14ac:dyDescent="0.3">
      <c r="A216" s="229"/>
      <c r="B216" s="214"/>
      <c r="C216" s="214"/>
      <c r="D216" s="214"/>
      <c r="E216" s="214"/>
      <c r="F216" s="230"/>
      <c r="G216" s="230"/>
      <c r="H216" s="214"/>
      <c r="I216" s="231"/>
      <c r="J216" s="231"/>
      <c r="K216" s="231"/>
      <c r="L216" s="231"/>
      <c r="N216" s="120"/>
      <c r="O216" s="121"/>
    </row>
    <row r="217" spans="1:25" ht="25.2" hidden="1" outlineLevel="1" x14ac:dyDescent="0.3">
      <c r="A217" s="232"/>
      <c r="B217" s="110" t="s">
        <v>129</v>
      </c>
      <c r="C217" s="113"/>
      <c r="D217" s="233">
        <f>D211+D207+D203+D199+D195+D187+D183+D171+D159+D147+D132+D115+D102+D96+D59+D45+D24+D3</f>
        <v>462388.69873</v>
      </c>
      <c r="E217" s="233">
        <f>E211+E207+E203+E199+E195+E187+E183+E171+E159+E147+E132+E115+E102+E96+E59+E45+E24+E3</f>
        <v>431272.17008000001</v>
      </c>
      <c r="F217" s="230"/>
      <c r="G217" s="230"/>
      <c r="H217" s="214"/>
      <c r="I217" s="231"/>
      <c r="J217" s="231"/>
      <c r="K217" s="231"/>
      <c r="L217" s="231"/>
      <c r="N217" s="120"/>
      <c r="O217" s="121"/>
    </row>
    <row r="218" spans="1:25" hidden="1" outlineLevel="1" x14ac:dyDescent="0.3">
      <c r="A218" s="232"/>
      <c r="B218" s="112"/>
      <c r="C218" s="113"/>
      <c r="D218" s="234"/>
      <c r="E218" s="235"/>
      <c r="F218" s="230"/>
      <c r="G218" s="230"/>
      <c r="H218" s="214"/>
      <c r="I218" s="231"/>
      <c r="J218" s="231"/>
      <c r="K218" s="231"/>
      <c r="L218" s="231"/>
      <c r="N218" s="120"/>
      <c r="O218" s="121"/>
    </row>
    <row r="219" spans="1:25" collapsed="1" x14ac:dyDescent="0.3"/>
    <row r="220" spans="1:25" x14ac:dyDescent="0.3">
      <c r="D220" s="715"/>
      <c r="E220" s="715"/>
    </row>
  </sheetData>
  <mergeCells count="137">
    <mergeCell ref="B22:B23"/>
    <mergeCell ref="A24:A29"/>
    <mergeCell ref="B24:B29"/>
    <mergeCell ref="D1:D2"/>
    <mergeCell ref="B1:B2"/>
    <mergeCell ref="C1:C2"/>
    <mergeCell ref="F1:F2"/>
    <mergeCell ref="G1:G2"/>
    <mergeCell ref="H1:H2"/>
    <mergeCell ref="A11:A13"/>
    <mergeCell ref="B11:B13"/>
    <mergeCell ref="A14:A17"/>
    <mergeCell ref="B14:B17"/>
    <mergeCell ref="Q59:R59"/>
    <mergeCell ref="Q60:R60"/>
    <mergeCell ref="A37:A40"/>
    <mergeCell ref="B37:B40"/>
    <mergeCell ref="B41:B42"/>
    <mergeCell ref="B43:B44"/>
    <mergeCell ref="D43:L44"/>
    <mergeCell ref="B45:B47"/>
    <mergeCell ref="A30:A31"/>
    <mergeCell ref="B30:B31"/>
    <mergeCell ref="A32:A34"/>
    <mergeCell ref="B32:B34"/>
    <mergeCell ref="A35:A36"/>
    <mergeCell ref="B35:B36"/>
    <mergeCell ref="B59:B63"/>
    <mergeCell ref="Q61:R61"/>
    <mergeCell ref="L1:L2"/>
    <mergeCell ref="B3:B6"/>
    <mergeCell ref="A7:A10"/>
    <mergeCell ref="B7:B10"/>
    <mergeCell ref="B64:B66"/>
    <mergeCell ref="B67:B69"/>
    <mergeCell ref="B70:B73"/>
    <mergeCell ref="B74:B76"/>
    <mergeCell ref="B77:B80"/>
    <mergeCell ref="B48:B49"/>
    <mergeCell ref="B50:B51"/>
    <mergeCell ref="B52:B53"/>
    <mergeCell ref="B54:B55"/>
    <mergeCell ref="B56:B58"/>
    <mergeCell ref="A18:A19"/>
    <mergeCell ref="B18:B19"/>
    <mergeCell ref="I1:I2"/>
    <mergeCell ref="J1:J2"/>
    <mergeCell ref="K1:K2"/>
    <mergeCell ref="C28:C29"/>
    <mergeCell ref="A20:A21"/>
    <mergeCell ref="B20:B21"/>
    <mergeCell ref="A22:A23"/>
    <mergeCell ref="A1:A2"/>
    <mergeCell ref="B99:B101"/>
    <mergeCell ref="B102:B104"/>
    <mergeCell ref="B105:B107"/>
    <mergeCell ref="B108:B111"/>
    <mergeCell ref="C109:C111"/>
    <mergeCell ref="B112:B114"/>
    <mergeCell ref="D124:L124"/>
    <mergeCell ref="B81:B85"/>
    <mergeCell ref="B86:B88"/>
    <mergeCell ref="B89:B90"/>
    <mergeCell ref="B91:B92"/>
    <mergeCell ref="B93:B95"/>
    <mergeCell ref="B96:B98"/>
    <mergeCell ref="B135:B137"/>
    <mergeCell ref="A138:A139"/>
    <mergeCell ref="B138:B139"/>
    <mergeCell ref="A140:A141"/>
    <mergeCell ref="B140:B141"/>
    <mergeCell ref="D144:L144"/>
    <mergeCell ref="B115:B119"/>
    <mergeCell ref="B120:B123"/>
    <mergeCell ref="D120:L120"/>
    <mergeCell ref="B124:B126"/>
    <mergeCell ref="B127:B131"/>
    <mergeCell ref="B132:B134"/>
    <mergeCell ref="A132:A134"/>
    <mergeCell ref="B151:B152"/>
    <mergeCell ref="B153:B156"/>
    <mergeCell ref="B157:B158"/>
    <mergeCell ref="B159:B164"/>
    <mergeCell ref="B165:B170"/>
    <mergeCell ref="B171:B173"/>
    <mergeCell ref="B142:B143"/>
    <mergeCell ref="D142:L142"/>
    <mergeCell ref="A144:A146"/>
    <mergeCell ref="B144:B146"/>
    <mergeCell ref="B147:B150"/>
    <mergeCell ref="A151:A152"/>
    <mergeCell ref="A153:A156"/>
    <mergeCell ref="A157:A158"/>
    <mergeCell ref="B189:B190"/>
    <mergeCell ref="B191:B192"/>
    <mergeCell ref="B193:B194"/>
    <mergeCell ref="D193:K194"/>
    <mergeCell ref="B195:B196"/>
    <mergeCell ref="B197:B198"/>
    <mergeCell ref="B174:B176"/>
    <mergeCell ref="B177:B179"/>
    <mergeCell ref="B180:B182"/>
    <mergeCell ref="B183:B184"/>
    <mergeCell ref="B185:B186"/>
    <mergeCell ref="B187:B188"/>
    <mergeCell ref="B207:B208"/>
    <mergeCell ref="A209:A210"/>
    <mergeCell ref="B209:B210"/>
    <mergeCell ref="B211:B212"/>
    <mergeCell ref="B213:B214"/>
    <mergeCell ref="B199:B200"/>
    <mergeCell ref="B201:B202"/>
    <mergeCell ref="A203:A204"/>
    <mergeCell ref="B203:B204"/>
    <mergeCell ref="A205:A206"/>
    <mergeCell ref="B205:B206"/>
    <mergeCell ref="A211:A212"/>
    <mergeCell ref="A213:A214"/>
    <mergeCell ref="A207:A208"/>
    <mergeCell ref="A174:A176"/>
    <mergeCell ref="A171:A173"/>
    <mergeCell ref="A165:A170"/>
    <mergeCell ref="A159:A164"/>
    <mergeCell ref="A177:A179"/>
    <mergeCell ref="A142:A143"/>
    <mergeCell ref="A135:A137"/>
    <mergeCell ref="A199:A200"/>
    <mergeCell ref="A201:A202"/>
    <mergeCell ref="A180:A182"/>
    <mergeCell ref="A183:A184"/>
    <mergeCell ref="A185:A186"/>
    <mergeCell ref="A187:A188"/>
    <mergeCell ref="A189:A190"/>
    <mergeCell ref="A191:A192"/>
    <mergeCell ref="A193:A194"/>
    <mergeCell ref="A195:A196"/>
    <mergeCell ref="A197:A19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городское поселение</vt:lpstr>
      <vt:lpstr>муниципальный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Посад</cp:lastModifiedBy>
  <dcterms:created xsi:type="dcterms:W3CDTF">2019-11-14T12:02:33Z</dcterms:created>
  <dcterms:modified xsi:type="dcterms:W3CDTF">2021-06-14T22:47:20Z</dcterms:modified>
</cp:coreProperties>
</file>